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16" windowHeight="8280" tabRatio="814" firstSheet="9" activeTab="14"/>
  </bookViews>
  <sheets>
    <sheet name="ДОУ 2021" sheetId="1" r:id="rId1"/>
    <sheet name="ДОУ 2022 цена по контр" sheetId="2" r:id="rId2"/>
    <sheet name="крат группа" sheetId="3" r:id="rId3"/>
    <sheet name="крат группа 2022 цена по контр" sheetId="4" r:id="rId4"/>
    <sheet name="лагерь 2020" sheetId="5" r:id="rId5"/>
    <sheet name="лагерь 2022 цены по контр" sheetId="6" r:id="rId6"/>
    <sheet name="интернат 2020" sheetId="7" r:id="rId7"/>
    <sheet name="интернат 2022 цены по контр" sheetId="8" r:id="rId8"/>
    <sheet name="Площадка 2020" sheetId="9" r:id="rId9"/>
    <sheet name="площадка 2022цены по контр" sheetId="10" r:id="rId10"/>
    <sheet name="СОШ 2020" sheetId="11" r:id="rId11"/>
    <sheet name="СОШ 2022 цены по контр" sheetId="12" r:id="rId12"/>
    <sheet name="нормы малообесп" sheetId="13" r:id="rId13"/>
    <sheet name="нормы малообесп (2)" sheetId="14" r:id="rId14"/>
    <sheet name="нормы малооб не утвер врем 22" sheetId="15" r:id="rId15"/>
    <sheet name="анализ" sheetId="16" r:id="rId16"/>
    <sheet name="анализ (2)" sheetId="17" r:id="rId17"/>
    <sheet name="анализ цены торг" sheetId="18" r:id="rId18"/>
  </sheets>
  <definedNames>
    <definedName name="_xlnm.Print_Area" localSheetId="15">'анализ'!$A$1:$U$13</definedName>
    <definedName name="_xlnm.Print_Area" localSheetId="16">'анализ (2)'!$A$1:$W$14</definedName>
    <definedName name="_xlnm.Print_Area" localSheetId="17">'анализ цены торг'!$A$1:$W$14</definedName>
    <definedName name="_xlnm.Print_Area" localSheetId="0">'ДОУ 2021'!$A$1:$L$49</definedName>
    <definedName name="_xlnm.Print_Area" localSheetId="1">'ДОУ 2022 цена по контр'!$A$1:$L$49</definedName>
    <definedName name="_xlnm.Print_Area" localSheetId="6">'интернат 2020'!$A$1:$F$42</definedName>
    <definedName name="_xlnm.Print_Area" localSheetId="7">'интернат 2022 цены по контр'!$A$1:$F$45</definedName>
    <definedName name="_xlnm.Print_Area" localSheetId="2">'крат группа'!$A$1:$M$47</definedName>
    <definedName name="_xlnm.Print_Area" localSheetId="3">'крат группа 2022 цена по контр'!$A$1:$M$47</definedName>
    <definedName name="_xlnm.Print_Area" localSheetId="4">'лагерь 2020'!$A$1:$F$43</definedName>
    <definedName name="_xlnm.Print_Area" localSheetId="5">'лагерь 2022 цены по контр'!$A$1:$F$46</definedName>
    <definedName name="_xlnm.Print_Area" localSheetId="14">'нормы малооб не утвер врем 22'!$A$1:$M$27</definedName>
    <definedName name="_xlnm.Print_Area" localSheetId="12">'нормы малообесп'!$A$1:$I$21</definedName>
    <definedName name="_xlnm.Print_Area" localSheetId="13">'нормы малообесп (2)'!$A$1:$N$23</definedName>
    <definedName name="_xlnm.Print_Area" localSheetId="8">'Площадка 2020'!$A$1:$M$44</definedName>
    <definedName name="_xlnm.Print_Area" localSheetId="9">'площадка 2022цены по контр'!$A$1:$M$47</definedName>
    <definedName name="_xlnm.Print_Area" localSheetId="10">'СОШ 2020'!$A$1:$J$44</definedName>
    <definedName name="_xlnm.Print_Area" localSheetId="11">'СОШ 2022 цены по контр'!$A$1:$J$47</definedName>
  </definedNames>
  <calcPr fullCalcOnLoad="1"/>
</workbook>
</file>

<file path=xl/comments1.xml><?xml version="1.0" encoding="utf-8"?>
<comments xmlns="http://schemas.openxmlformats.org/spreadsheetml/2006/main">
  <authors>
    <author>Tanya</author>
  </authors>
  <commentList>
    <comment ref="G16" authorId="0">
      <text>
        <r>
          <rPr>
            <sz val="9"/>
            <rFont val="Tahoma"/>
            <family val="2"/>
          </rPr>
          <t xml:space="preserve">в санпине молоко и кисломолочные продукты одной строкой, в 2018-2019 годах ставили усредненную сумму
</t>
        </r>
      </text>
    </comment>
    <comment ref="G20" authorId="0">
      <text>
        <r>
          <rPr>
            <sz val="9"/>
            <rFont val="Tahoma"/>
            <family val="2"/>
          </rPr>
          <t xml:space="preserve"> в 2018-2019 годах ставили усредненную сумму
</t>
        </r>
      </text>
    </comment>
    <comment ref="G21" authorId="0">
      <text>
        <r>
          <rPr>
            <sz val="9"/>
            <rFont val="Tahoma"/>
            <family val="2"/>
          </rPr>
          <t xml:space="preserve"> в 2018-2019 годах ставили усредненную сумму
</t>
        </r>
      </text>
    </comment>
    <comment ref="B25" authorId="0">
      <text>
        <r>
          <rPr>
            <b/>
            <sz val="9"/>
            <rFont val="Tahoma"/>
            <family val="2"/>
          </rPr>
          <t>среднее кол-во, чтобы был рост 1,036</t>
        </r>
      </text>
    </comment>
    <comment ref="C25" authorId="0">
      <text>
        <r>
          <rPr>
            <b/>
            <sz val="9"/>
            <rFont val="Tahoma"/>
            <family val="2"/>
          </rPr>
          <t>среднее кол-во, чтобы был рост 1,036</t>
        </r>
      </text>
    </comment>
    <comment ref="B20" authorId="0">
      <text>
        <r>
          <rPr>
            <b/>
            <sz val="9"/>
            <rFont val="Tahoma"/>
            <family val="2"/>
          </rPr>
          <t xml:space="preserve"> правила чтобы был рост 1,036</t>
        </r>
        <r>
          <rPr>
            <sz val="9"/>
            <rFont val="Tahoma"/>
            <family val="2"/>
          </rPr>
          <t xml:space="preserve">
</t>
        </r>
      </text>
    </comment>
    <comment ref="C20" authorId="0">
      <text>
        <r>
          <rPr>
            <b/>
            <sz val="9"/>
            <rFont val="Tahoma"/>
            <family val="2"/>
          </rPr>
          <t>правила чтобы был рост 1,036</t>
        </r>
      </text>
    </comment>
    <comment ref="B21" authorId="0">
      <text>
        <r>
          <rPr>
            <b/>
            <sz val="9"/>
            <rFont val="Tahoma"/>
            <family val="2"/>
          </rPr>
          <t xml:space="preserve"> правила чтобы был рост 1,036</t>
        </r>
      </text>
    </comment>
    <comment ref="C21" authorId="0">
      <text>
        <r>
          <rPr>
            <b/>
            <sz val="9"/>
            <rFont val="Tahoma"/>
            <family val="2"/>
          </rPr>
          <t xml:space="preserve"> правила чтобы был рост 1,036</t>
        </r>
      </text>
    </comment>
    <comment ref="J16" authorId="0">
      <text>
        <r>
          <rPr>
            <b/>
            <sz val="9"/>
            <rFont val="Tahoma"/>
            <family val="2"/>
          </rPr>
          <t>средняя цена между молоком и кисломолочными продуктами</t>
        </r>
        <r>
          <rPr>
            <sz val="9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9"/>
            <rFont val="Tahoma"/>
            <family val="2"/>
          </rPr>
          <t xml:space="preserve"> правила чтобы был рост 1,036
</t>
        </r>
      </text>
    </comment>
    <comment ref="I20" authorId="0">
      <text>
        <r>
          <rPr>
            <b/>
            <sz val="9"/>
            <rFont val="Tahoma"/>
            <family val="2"/>
          </rPr>
          <t xml:space="preserve"> правила чтобы был рост 1,036
</t>
        </r>
        <r>
          <rPr>
            <sz val="9"/>
            <rFont val="Tahoma"/>
            <family val="2"/>
          </rPr>
          <t xml:space="preserve">
</t>
        </r>
      </text>
    </comment>
    <comment ref="H25" authorId="0">
      <text>
        <r>
          <rPr>
            <b/>
            <sz val="9"/>
            <rFont val="Tahoma"/>
            <family val="2"/>
          </rPr>
          <t>среднее кол-во, чтобы был рост 1,036</t>
        </r>
      </text>
    </comment>
    <comment ref="I25" authorId="0">
      <text>
        <r>
          <rPr>
            <b/>
            <sz val="9"/>
            <rFont val="Tahoma"/>
            <family val="2"/>
          </rPr>
          <t>среднее кол-во, чтобы был рост 1,036</t>
        </r>
      </text>
    </comment>
  </commentList>
</comments>
</file>

<file path=xl/comments10.xml><?xml version="1.0" encoding="utf-8"?>
<comments xmlns="http://schemas.openxmlformats.org/spreadsheetml/2006/main">
  <authors>
    <author>user</author>
    <author>Tanya</author>
  </authors>
  <commentList>
    <comment ref="H2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кол-во в порции меняется</t>
        </r>
      </text>
    </comment>
    <comment ref="H25" authorId="1">
      <text>
        <r>
          <rPr>
            <sz val="9"/>
            <rFont val="Tahoma"/>
            <family val="2"/>
          </rPr>
          <t xml:space="preserve">кол-во в порции меняется
</t>
        </r>
      </text>
    </comment>
    <comment ref="H2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кол-во в порции меняется
</t>
        </r>
      </text>
    </comment>
    <comment ref="H29" authorId="1">
      <text>
        <r>
          <rPr>
            <b/>
            <sz val="9"/>
            <rFont val="Tahoma"/>
            <family val="2"/>
          </rPr>
          <t>до 2019 ставили ср цену</t>
        </r>
        <r>
          <rPr>
            <sz val="9"/>
            <rFont val="Tahoma"/>
            <family val="2"/>
          </rPr>
          <t xml:space="preserve">
</t>
        </r>
      </text>
    </comment>
    <comment ref="H30" authorId="1">
      <text>
        <r>
          <rPr>
            <b/>
            <sz val="9"/>
            <rFont val="Tahoma"/>
            <family val="2"/>
          </rPr>
          <t xml:space="preserve">до 2019 ставили ср цену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Tanya</author>
    <author>user</author>
  </authors>
  <commentList>
    <comment ref="A23" authorId="0">
      <text>
        <r>
          <rPr>
            <b/>
            <sz val="9"/>
            <rFont val="Tahoma"/>
            <family val="2"/>
          </rPr>
          <t>кол-во в порции меняется</t>
        </r>
      </text>
    </comment>
    <comment ref="B23" authorId="0">
      <text>
        <r>
          <rPr>
            <b/>
            <sz val="9"/>
            <rFont val="Tahoma"/>
            <family val="2"/>
          </rPr>
          <t xml:space="preserve">
кол-во в порции 77-95</t>
        </r>
      </text>
    </comment>
    <comment ref="C23" authorId="0">
      <text>
        <r>
          <rPr>
            <b/>
            <sz val="9"/>
            <rFont val="Tahoma"/>
            <family val="2"/>
          </rPr>
          <t xml:space="preserve">кол-во в порции 77-95
</t>
        </r>
        <r>
          <rPr>
            <sz val="9"/>
            <rFont val="Tahoma"/>
            <family val="2"/>
          </rPr>
          <t xml:space="preserve">
</t>
        </r>
      </text>
    </comment>
    <comment ref="A27" authorId="0">
      <text>
        <r>
          <rPr>
            <b/>
            <sz val="9"/>
            <rFont val="Tahoma"/>
            <family val="2"/>
          </rPr>
          <t>до 2019 ставили сред цену</t>
        </r>
        <r>
          <rPr>
            <sz val="9"/>
            <rFont val="Tahoma"/>
            <family val="2"/>
          </rPr>
          <t xml:space="preserve">
</t>
        </r>
      </text>
    </comment>
    <comment ref="A28" authorId="0">
      <text>
        <r>
          <rPr>
            <b/>
            <sz val="9"/>
            <rFont val="Tahoma"/>
            <family val="2"/>
          </rPr>
          <t xml:space="preserve">до 2019 ставили сред цену
</t>
        </r>
      </text>
    </comment>
    <comment ref="D27" authorId="0">
      <text>
        <r>
          <rPr>
            <b/>
            <sz val="9"/>
            <rFont val="Tahoma"/>
            <family val="2"/>
          </rPr>
          <t xml:space="preserve">до 2019 ставили сред цену
</t>
        </r>
      </text>
    </comment>
    <comment ref="D28" authorId="0">
      <text>
        <r>
          <rPr>
            <b/>
            <sz val="9"/>
            <rFont val="Tahoma"/>
            <family val="2"/>
          </rPr>
          <t xml:space="preserve">до 2019 ставили сред цену
</t>
        </r>
        <r>
          <rPr>
            <sz val="9"/>
            <rFont val="Tahoma"/>
            <family val="2"/>
          </rPr>
          <t xml:space="preserve">
</t>
        </r>
      </text>
    </comment>
    <comment ref="A18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кол-во в порции меняется</t>
        </r>
      </text>
    </comment>
    <comment ref="A19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кол-во в порции меняется</t>
        </r>
      </text>
    </comment>
    <comment ref="A20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кол-во в порции меняется</t>
        </r>
      </text>
    </comment>
    <comment ref="A2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кол-во в порции меняется</t>
        </r>
      </text>
    </comment>
    <comment ref="B2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кол-во в порции 77-95</t>
        </r>
      </text>
    </comment>
    <comment ref="C2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кол-во в порции 77-95</t>
        </r>
      </text>
    </comment>
    <comment ref="G1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b/>
            <u val="single"/>
            <sz val="9"/>
            <rFont val="Tahoma"/>
            <family val="2"/>
          </rPr>
          <t>дети с ОВЗ и подвозимые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берется 70% от среднесуточного набора</t>
        </r>
        <r>
          <rPr>
            <sz val="9"/>
            <rFont val="Tahoma"/>
            <family val="2"/>
          </rPr>
          <t xml:space="preserve"> - доля суточной потребности в пищевых веществах (завтрак 20-25%, обед 30-35%, полдник 10%) по СанПиНу</t>
        </r>
      </text>
    </comment>
    <comment ref="I4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70% от 290,90</t>
        </r>
      </text>
    </comment>
    <comment ref="J4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70% от 338,73</t>
        </r>
      </text>
    </comment>
  </commentList>
</comments>
</file>

<file path=xl/comments12.xml><?xml version="1.0" encoding="utf-8"?>
<comments xmlns="http://schemas.openxmlformats.org/spreadsheetml/2006/main">
  <authors>
    <author>user</author>
    <author>Tanya</author>
  </authors>
  <commentList>
    <comment ref="G1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b/>
            <u val="single"/>
            <sz val="9"/>
            <rFont val="Tahoma"/>
            <family val="2"/>
          </rPr>
          <t>дети с ОВЗ и подвозимые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берется 70% от среднесуточного набора</t>
        </r>
        <r>
          <rPr>
            <sz val="9"/>
            <rFont val="Tahoma"/>
            <family val="2"/>
          </rPr>
          <t xml:space="preserve"> - доля суточной потребности в пищевых веществах (завтрак 20-25%, обед 30-35%, полдник 10%) по СанПиНу</t>
        </r>
      </text>
    </comment>
    <comment ref="I4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70% от 290,90</t>
        </r>
      </text>
    </comment>
    <comment ref="J4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70% от 338,73</t>
        </r>
      </text>
    </comment>
    <comment ref="A1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кол-во в порции меняется</t>
        </r>
      </text>
    </comment>
    <comment ref="A23" authorId="1">
      <text>
        <r>
          <rPr>
            <sz val="9"/>
            <rFont val="Tahoma"/>
            <family val="2"/>
          </rPr>
          <t xml:space="preserve">кол-во в порции меняется
</t>
        </r>
      </text>
    </comment>
    <comment ref="B23" authorId="1">
      <text>
        <r>
          <rPr>
            <b/>
            <sz val="9"/>
            <rFont val="Tahoma"/>
            <family val="2"/>
          </rPr>
          <t>кол-во в порции 77-95</t>
        </r>
        <r>
          <rPr>
            <sz val="9"/>
            <rFont val="Tahoma"/>
            <family val="2"/>
          </rPr>
          <t xml:space="preserve">
</t>
        </r>
      </text>
    </comment>
    <comment ref="C23" authorId="1">
      <text>
        <r>
          <rPr>
            <b/>
            <sz val="9"/>
            <rFont val="Tahoma"/>
            <family val="2"/>
          </rPr>
          <t>кол-во в порции 86-105</t>
        </r>
      </text>
    </comment>
    <comment ref="A2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кол-во в порции меняется
</t>
        </r>
      </text>
    </comment>
    <comment ref="B2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кол-во в порции 40-51
</t>
        </r>
      </text>
    </comment>
    <comment ref="C2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кол-во в порции 60-76
</t>
        </r>
      </text>
    </comment>
    <comment ref="A27" authorId="1">
      <text>
        <r>
          <rPr>
            <b/>
            <sz val="9"/>
            <rFont val="Tahoma"/>
            <family val="2"/>
          </rPr>
          <t>до 2019 ставили ср цену</t>
        </r>
        <r>
          <rPr>
            <sz val="9"/>
            <rFont val="Tahoma"/>
            <family val="2"/>
          </rPr>
          <t xml:space="preserve">
</t>
        </r>
      </text>
    </comment>
    <comment ref="A28" authorId="1">
      <text>
        <r>
          <rPr>
            <b/>
            <sz val="9"/>
            <rFont val="Tahoma"/>
            <family val="2"/>
          </rPr>
          <t xml:space="preserve">до 2019 ставили ср цену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Tanya</author>
  </authors>
  <commentList>
    <comment ref="J10" authorId="0">
      <text>
        <r>
          <rPr>
            <b/>
            <sz val="9"/>
            <rFont val="Tahoma"/>
            <family val="2"/>
          </rPr>
          <t>цифру дала Е. В.</t>
        </r>
      </text>
    </comment>
  </commentList>
</comments>
</file>

<file path=xl/comments17.xml><?xml version="1.0" encoding="utf-8"?>
<comments xmlns="http://schemas.openxmlformats.org/spreadsheetml/2006/main">
  <authors>
    <author>Tanya</author>
  </authors>
  <commentList>
    <comment ref="J11" authorId="0">
      <text>
        <r>
          <rPr>
            <b/>
            <sz val="9"/>
            <rFont val="Tahoma"/>
            <family val="2"/>
          </rPr>
          <t>цифру дала Е. В.</t>
        </r>
      </text>
    </comment>
  </commentList>
</comments>
</file>

<file path=xl/comments18.xml><?xml version="1.0" encoding="utf-8"?>
<comments xmlns="http://schemas.openxmlformats.org/spreadsheetml/2006/main">
  <authors>
    <author>Tanya</author>
  </authors>
  <commentList>
    <comment ref="J11" authorId="0">
      <text>
        <r>
          <rPr>
            <b/>
            <sz val="9"/>
            <rFont val="Tahoma"/>
            <family val="2"/>
          </rPr>
          <t>цифру дала Е. В.</t>
        </r>
      </text>
    </comment>
  </commentList>
</comments>
</file>

<file path=xl/comments2.xml><?xml version="1.0" encoding="utf-8"?>
<comments xmlns="http://schemas.openxmlformats.org/spreadsheetml/2006/main">
  <authors>
    <author>Tanya</author>
  </authors>
  <commentList>
    <comment ref="G16" authorId="0">
      <text>
        <r>
          <rPr>
            <sz val="9"/>
            <rFont val="Tahoma"/>
            <family val="2"/>
          </rPr>
          <t xml:space="preserve">в санпине молоко и кисломолочные продукты одной строкой, в 2018-2019 годах ставили усредненную сумму
</t>
        </r>
      </text>
    </comment>
    <comment ref="B20" authorId="0">
      <text>
        <r>
          <rPr>
            <b/>
            <sz val="9"/>
            <rFont val="Tahoma"/>
            <family val="2"/>
          </rPr>
          <t xml:space="preserve"> правила чтобы был рост 1,036</t>
        </r>
        <r>
          <rPr>
            <sz val="9"/>
            <rFont val="Tahoma"/>
            <family val="2"/>
          </rPr>
          <t xml:space="preserve">
</t>
        </r>
      </text>
    </comment>
    <comment ref="C20" authorId="0">
      <text>
        <r>
          <rPr>
            <b/>
            <sz val="9"/>
            <rFont val="Tahoma"/>
            <family val="2"/>
          </rPr>
          <t>правила чтобы был рост 1,036</t>
        </r>
      </text>
    </comment>
    <comment ref="G20" authorId="0">
      <text>
        <r>
          <rPr>
            <sz val="9"/>
            <rFont val="Tahoma"/>
            <family val="2"/>
          </rPr>
          <t xml:space="preserve"> в 2018-2019 годах ставили усредненную сумму
</t>
        </r>
      </text>
    </comment>
    <comment ref="H20" authorId="0">
      <text>
        <r>
          <rPr>
            <b/>
            <sz val="9"/>
            <rFont val="Tahoma"/>
            <family val="2"/>
          </rPr>
          <t xml:space="preserve"> правила чтобы был рост 1,036
</t>
        </r>
      </text>
    </comment>
    <comment ref="I20" authorId="0">
      <text>
        <r>
          <rPr>
            <b/>
            <sz val="9"/>
            <rFont val="Tahoma"/>
            <family val="2"/>
          </rPr>
          <t xml:space="preserve"> правила чтобы был рост 1,036
</t>
        </r>
        <r>
          <rPr>
            <sz val="9"/>
            <rFont val="Tahoma"/>
            <family val="2"/>
          </rPr>
          <t xml:space="preserve">
</t>
        </r>
      </text>
    </comment>
    <comment ref="B21" authorId="0">
      <text>
        <r>
          <rPr>
            <b/>
            <sz val="9"/>
            <rFont val="Tahoma"/>
            <family val="2"/>
          </rPr>
          <t xml:space="preserve"> правила чтобы был рост 1,036</t>
        </r>
      </text>
    </comment>
    <comment ref="C21" authorId="0">
      <text>
        <r>
          <rPr>
            <b/>
            <sz val="9"/>
            <rFont val="Tahoma"/>
            <family val="2"/>
          </rPr>
          <t xml:space="preserve"> правила чтобы был рост 1,036</t>
        </r>
      </text>
    </comment>
    <comment ref="G21" authorId="0">
      <text>
        <r>
          <rPr>
            <sz val="9"/>
            <rFont val="Tahoma"/>
            <family val="2"/>
          </rPr>
          <t xml:space="preserve"> в 2018-2019 годах ставили усредненную сумму
</t>
        </r>
      </text>
    </comment>
    <comment ref="B25" authorId="0">
      <text>
        <r>
          <rPr>
            <b/>
            <sz val="9"/>
            <rFont val="Tahoma"/>
            <family val="2"/>
          </rPr>
          <t>среднее кол-во, чтобы был рост 1,036</t>
        </r>
      </text>
    </comment>
    <comment ref="C25" authorId="0">
      <text>
        <r>
          <rPr>
            <b/>
            <sz val="9"/>
            <rFont val="Tahoma"/>
            <family val="2"/>
          </rPr>
          <t>среднее кол-во, чтобы был рост 1,036</t>
        </r>
      </text>
    </comment>
    <comment ref="H25" authorId="0">
      <text>
        <r>
          <rPr>
            <b/>
            <sz val="9"/>
            <rFont val="Tahoma"/>
            <family val="2"/>
          </rPr>
          <t>среднее кол-во, чтобы был рост 1,036</t>
        </r>
      </text>
    </comment>
    <comment ref="I25" authorId="0">
      <text>
        <r>
          <rPr>
            <b/>
            <sz val="9"/>
            <rFont val="Tahoma"/>
            <family val="2"/>
          </rPr>
          <t>среднее кол-во, чтобы был рост 1,036</t>
        </r>
      </text>
    </comment>
  </commentList>
</comments>
</file>

<file path=xl/comments3.xml><?xml version="1.0" encoding="utf-8"?>
<comments xmlns="http://schemas.openxmlformats.org/spreadsheetml/2006/main">
  <authors>
    <author>Tanya</author>
    <author>user</author>
  </authors>
  <commentList>
    <comment ref="I20" authorId="0">
      <text>
        <r>
          <rPr>
            <b/>
            <sz val="9"/>
            <rFont val="Tahoma"/>
            <family val="2"/>
          </rPr>
          <t>среднее кол-во, чтобы был рост 1,036</t>
        </r>
      </text>
    </comment>
    <comment ref="I21" authorId="0">
      <text>
        <r>
          <rPr>
            <b/>
            <sz val="9"/>
            <rFont val="Tahoma"/>
            <family val="2"/>
          </rPr>
          <t>среднее кол-во, чтобы был рост 1,036</t>
        </r>
      </text>
    </comment>
    <comment ref="J20" authorId="0">
      <text>
        <r>
          <rPr>
            <b/>
            <sz val="9"/>
            <rFont val="Tahoma"/>
            <family val="2"/>
          </rPr>
          <t>среднее кол-во, чтобы был рост 1,036</t>
        </r>
      </text>
    </comment>
    <comment ref="J21" authorId="0">
      <text>
        <r>
          <rPr>
            <b/>
            <sz val="9"/>
            <rFont val="Tahoma"/>
            <family val="2"/>
          </rPr>
          <t>среднее кол-во, чтобы был рост 1,036</t>
        </r>
      </text>
    </comment>
    <comment ref="H16" authorId="0">
      <text>
        <r>
          <rPr>
            <sz val="9"/>
            <rFont val="Tahoma"/>
            <family val="2"/>
          </rPr>
          <t xml:space="preserve">в санпине молоко и кисломолочные продукты одной строкой, в 2018-2019 годах ставили усредненную сумму
</t>
        </r>
      </text>
    </comment>
    <comment ref="H20" authorId="0">
      <text>
        <r>
          <rPr>
            <sz val="9"/>
            <rFont val="Tahoma"/>
            <family val="2"/>
          </rPr>
          <t xml:space="preserve"> в 2018-2019 годах ставили усредненную сумму
</t>
        </r>
      </text>
    </comment>
    <comment ref="H21" authorId="0">
      <text>
        <r>
          <rPr>
            <sz val="9"/>
            <rFont val="Tahoma"/>
            <family val="2"/>
          </rPr>
          <t xml:space="preserve"> в 2018-2019 годах ставили усредненную сумму
</t>
        </r>
      </text>
    </comment>
    <comment ref="K16" authorId="0">
      <text>
        <r>
          <rPr>
            <b/>
            <sz val="9"/>
            <rFont val="Tahoma"/>
            <family val="2"/>
          </rPr>
          <t>средняя цена между молоком и кисломолочными продуктами</t>
        </r>
        <r>
          <rPr>
            <sz val="9"/>
            <rFont val="Tahoma"/>
            <family val="2"/>
          </rPr>
          <t xml:space="preserve">
</t>
        </r>
      </text>
    </comment>
    <comment ref="B20" authorId="0">
      <text>
        <r>
          <rPr>
            <b/>
            <sz val="9"/>
            <rFont val="Tahoma"/>
            <family val="2"/>
          </rPr>
          <t xml:space="preserve"> правила чтобы был рост 1,036</t>
        </r>
        <r>
          <rPr>
            <sz val="9"/>
            <rFont val="Tahoma"/>
            <family val="2"/>
          </rPr>
          <t xml:space="preserve">
</t>
        </r>
      </text>
    </comment>
    <comment ref="C20" authorId="0">
      <text>
        <r>
          <rPr>
            <b/>
            <sz val="9"/>
            <rFont val="Tahoma"/>
            <family val="2"/>
          </rPr>
          <t>правила чтобы был рост 1,036</t>
        </r>
      </text>
    </comment>
    <comment ref="B21" authorId="0">
      <text>
        <r>
          <rPr>
            <b/>
            <sz val="9"/>
            <rFont val="Tahoma"/>
            <family val="2"/>
          </rPr>
          <t xml:space="preserve"> правила чтобы был рост 1,036</t>
        </r>
      </text>
    </comment>
    <comment ref="C21" authorId="0">
      <text>
        <r>
          <rPr>
            <b/>
            <sz val="9"/>
            <rFont val="Tahoma"/>
            <family val="2"/>
          </rPr>
          <t xml:space="preserve"> правила чтобы был рост 1,036</t>
        </r>
      </text>
    </comment>
    <comment ref="B25" authorId="0">
      <text>
        <r>
          <rPr>
            <b/>
            <sz val="9"/>
            <rFont val="Tahoma"/>
            <family val="2"/>
          </rPr>
          <t>среднее кол-во, чтобы был рост 1,036</t>
        </r>
      </text>
    </comment>
    <comment ref="C25" authorId="0">
      <text>
        <r>
          <rPr>
            <b/>
            <sz val="9"/>
            <rFont val="Tahoma"/>
            <family val="2"/>
          </rPr>
          <t>среднее кол-во, чтобы был рост 1,036</t>
        </r>
      </text>
    </comment>
    <comment ref="I25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среднее кол-во, чтобы был рост 1,036</t>
        </r>
      </text>
    </comment>
    <comment ref="J25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среднее кол-во, чтобы был рост 1,036</t>
        </r>
      </text>
    </comment>
  </commentList>
</comments>
</file>

<file path=xl/comments4.xml><?xml version="1.0" encoding="utf-8"?>
<comments xmlns="http://schemas.openxmlformats.org/spreadsheetml/2006/main">
  <authors>
    <author>Tanya</author>
  </authors>
  <commentList>
    <comment ref="B20" authorId="0">
      <text>
        <r>
          <rPr>
            <b/>
            <sz val="9"/>
            <rFont val="Tahoma"/>
            <family val="2"/>
          </rPr>
          <t xml:space="preserve"> правила чтобы был рост 1,036</t>
        </r>
        <r>
          <rPr>
            <sz val="9"/>
            <rFont val="Tahoma"/>
            <family val="2"/>
          </rPr>
          <t xml:space="preserve">
</t>
        </r>
      </text>
    </comment>
    <comment ref="C20" authorId="0">
      <text>
        <r>
          <rPr>
            <b/>
            <sz val="9"/>
            <rFont val="Tahoma"/>
            <family val="2"/>
          </rPr>
          <t>правила чтобы был рост 1,036</t>
        </r>
      </text>
    </comment>
    <comment ref="B21" authorId="0">
      <text>
        <r>
          <rPr>
            <b/>
            <sz val="9"/>
            <rFont val="Tahoma"/>
            <family val="2"/>
          </rPr>
          <t xml:space="preserve"> правила чтобы был рост 1,036</t>
        </r>
      </text>
    </comment>
    <comment ref="C21" authorId="0">
      <text>
        <r>
          <rPr>
            <b/>
            <sz val="9"/>
            <rFont val="Tahoma"/>
            <family val="2"/>
          </rPr>
          <t xml:space="preserve"> правила чтобы был рост 1,036</t>
        </r>
      </text>
    </comment>
    <comment ref="B25" authorId="0">
      <text>
        <r>
          <rPr>
            <b/>
            <sz val="9"/>
            <rFont val="Tahoma"/>
            <family val="2"/>
          </rPr>
          <t>среднее кол-во, чтобы был рост 1,036</t>
        </r>
      </text>
    </comment>
    <comment ref="C25" authorId="0">
      <text>
        <r>
          <rPr>
            <b/>
            <sz val="9"/>
            <rFont val="Tahoma"/>
            <family val="2"/>
          </rPr>
          <t>среднее кол-во, чтобы был рост 1,036</t>
        </r>
      </text>
    </comment>
    <comment ref="H16" authorId="0">
      <text>
        <r>
          <rPr>
            <sz val="9"/>
            <rFont val="Tahoma"/>
            <family val="2"/>
          </rPr>
          <t xml:space="preserve">в санпине молоко и кисломолочные продукты одной строкой, в 2018-2019 годах ставили усредненную сумму
</t>
        </r>
      </text>
    </comment>
    <comment ref="H20" authorId="0">
      <text>
        <r>
          <rPr>
            <sz val="9"/>
            <rFont val="Tahoma"/>
            <family val="2"/>
          </rPr>
          <t xml:space="preserve"> в 2018-2019 годах ставили усредненную сумму
</t>
        </r>
      </text>
    </comment>
    <comment ref="H21" authorId="0">
      <text>
        <r>
          <rPr>
            <sz val="9"/>
            <rFont val="Tahoma"/>
            <family val="2"/>
          </rPr>
          <t xml:space="preserve"> в 2018-2019 годах ставили усредненную сумму
</t>
        </r>
      </text>
    </comment>
  </commentList>
</comments>
</file>

<file path=xl/comments5.xml><?xml version="1.0" encoding="utf-8"?>
<comments xmlns="http://schemas.openxmlformats.org/spreadsheetml/2006/main">
  <authors>
    <author>Tanya</author>
    <author>user</author>
  </authors>
  <commentList>
    <comment ref="A24" authorId="0">
      <text>
        <r>
          <rPr>
            <sz val="9"/>
            <rFont val="Tahoma"/>
            <family val="2"/>
          </rPr>
          <t xml:space="preserve">кол-во в порции меняется
</t>
        </r>
      </text>
    </comment>
    <comment ref="B24" authorId="0">
      <text>
        <r>
          <rPr>
            <b/>
            <sz val="9"/>
            <rFont val="Tahoma"/>
            <family val="2"/>
          </rPr>
          <t>кол-во в порции 77-95</t>
        </r>
        <r>
          <rPr>
            <sz val="9"/>
            <rFont val="Tahoma"/>
            <family val="2"/>
          </rPr>
          <t xml:space="preserve">
</t>
        </r>
      </text>
    </comment>
    <comment ref="C24" authorId="0">
      <text>
        <r>
          <rPr>
            <b/>
            <sz val="9"/>
            <rFont val="Tahoma"/>
            <family val="2"/>
          </rPr>
          <t>кол-во в порции 86-105</t>
        </r>
      </text>
    </comment>
    <comment ref="A28" authorId="0">
      <text>
        <r>
          <rPr>
            <b/>
            <sz val="9"/>
            <rFont val="Tahoma"/>
            <family val="2"/>
          </rPr>
          <t>до 2019 ставили ср цену</t>
        </r>
        <r>
          <rPr>
            <sz val="9"/>
            <rFont val="Tahoma"/>
            <family val="2"/>
          </rPr>
          <t xml:space="preserve">
</t>
        </r>
      </text>
    </comment>
    <comment ref="A29" authorId="0">
      <text>
        <r>
          <rPr>
            <b/>
            <sz val="9"/>
            <rFont val="Tahoma"/>
            <family val="2"/>
          </rPr>
          <t xml:space="preserve">до 2019 ставили ср цену
</t>
        </r>
        <r>
          <rPr>
            <sz val="9"/>
            <rFont val="Tahoma"/>
            <family val="2"/>
          </rPr>
          <t xml:space="preserve">
</t>
        </r>
      </text>
    </comment>
    <comment ref="D28" authorId="0">
      <text>
        <r>
          <rPr>
            <b/>
            <sz val="9"/>
            <rFont val="Tahoma"/>
            <family val="2"/>
          </rPr>
          <t xml:space="preserve">до 2019 ставили ср цену
</t>
        </r>
        <r>
          <rPr>
            <sz val="9"/>
            <rFont val="Tahoma"/>
            <family val="2"/>
          </rPr>
          <t xml:space="preserve">
</t>
        </r>
      </text>
    </comment>
    <comment ref="D29" authorId="0">
      <text>
        <r>
          <rPr>
            <b/>
            <sz val="9"/>
            <rFont val="Tahoma"/>
            <family val="2"/>
          </rPr>
          <t xml:space="preserve">до 2019 ставили ср цену
</t>
        </r>
        <r>
          <rPr>
            <sz val="9"/>
            <rFont val="Tahoma"/>
            <family val="2"/>
          </rPr>
          <t xml:space="preserve">
</t>
        </r>
      </text>
    </comment>
    <comment ref="A25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кол-во в порции меняется
</t>
        </r>
      </text>
    </comment>
    <comment ref="B25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кол-во в порции 40-51
</t>
        </r>
      </text>
    </comment>
    <comment ref="C25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кол-во в порции 60-76
</t>
        </r>
      </text>
    </comment>
    <comment ref="A19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кол-во в порции меняется</t>
        </r>
      </text>
    </comment>
  </commentList>
</comments>
</file>

<file path=xl/comments6.xml><?xml version="1.0" encoding="utf-8"?>
<comments xmlns="http://schemas.openxmlformats.org/spreadsheetml/2006/main">
  <authors>
    <author>user</author>
    <author>Tanya</author>
  </authors>
  <commentList>
    <comment ref="A1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кол-во в порции меняется</t>
        </r>
      </text>
    </comment>
    <comment ref="A24" authorId="1">
      <text>
        <r>
          <rPr>
            <sz val="9"/>
            <rFont val="Tahoma"/>
            <family val="2"/>
          </rPr>
          <t xml:space="preserve">кол-во в порции меняется
</t>
        </r>
      </text>
    </comment>
    <comment ref="B24" authorId="1">
      <text>
        <r>
          <rPr>
            <b/>
            <sz val="9"/>
            <rFont val="Tahoma"/>
            <family val="2"/>
          </rPr>
          <t>кол-во в порции 77-95</t>
        </r>
        <r>
          <rPr>
            <sz val="9"/>
            <rFont val="Tahoma"/>
            <family val="2"/>
          </rPr>
          <t xml:space="preserve">
</t>
        </r>
      </text>
    </comment>
    <comment ref="C24" authorId="1">
      <text>
        <r>
          <rPr>
            <b/>
            <sz val="9"/>
            <rFont val="Tahoma"/>
            <family val="2"/>
          </rPr>
          <t>кол-во в порции 86-105</t>
        </r>
      </text>
    </comment>
    <comment ref="A2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кол-во в порции меняется
</t>
        </r>
      </text>
    </comment>
    <comment ref="B2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кол-во в порции 40-51
</t>
        </r>
      </text>
    </comment>
    <comment ref="C2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кол-во в порции 60-76
</t>
        </r>
      </text>
    </comment>
    <comment ref="A28" authorId="1">
      <text>
        <r>
          <rPr>
            <b/>
            <sz val="9"/>
            <rFont val="Tahoma"/>
            <family val="2"/>
          </rPr>
          <t>до 2019 ставили ср цену</t>
        </r>
        <r>
          <rPr>
            <sz val="9"/>
            <rFont val="Tahoma"/>
            <family val="2"/>
          </rPr>
          <t xml:space="preserve">
</t>
        </r>
      </text>
    </comment>
    <comment ref="A29" authorId="1">
      <text>
        <r>
          <rPr>
            <b/>
            <sz val="9"/>
            <rFont val="Tahoma"/>
            <family val="2"/>
          </rPr>
          <t xml:space="preserve">до 2019 ставили ср цену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Tanya</author>
    <author>user</author>
  </authors>
  <commentList>
    <comment ref="A23" authorId="0">
      <text>
        <r>
          <rPr>
            <sz val="9"/>
            <rFont val="Tahoma"/>
            <family val="2"/>
          </rPr>
          <t xml:space="preserve">кол-во в порции меняется
</t>
        </r>
      </text>
    </comment>
    <comment ref="A2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кол-во в порции меняется
</t>
        </r>
      </text>
    </comment>
    <comment ref="A27" authorId="0">
      <text>
        <r>
          <rPr>
            <b/>
            <sz val="9"/>
            <rFont val="Tahoma"/>
            <family val="2"/>
          </rPr>
          <t>до 2019 ставили ср цену</t>
        </r>
        <r>
          <rPr>
            <sz val="9"/>
            <rFont val="Tahoma"/>
            <family val="2"/>
          </rPr>
          <t xml:space="preserve">
</t>
        </r>
      </text>
    </comment>
    <comment ref="A28" authorId="0">
      <text>
        <r>
          <rPr>
            <b/>
            <sz val="9"/>
            <rFont val="Tahoma"/>
            <family val="2"/>
          </rPr>
          <t xml:space="preserve">до 2019 ставили ср цену
</t>
        </r>
        <r>
          <rPr>
            <sz val="9"/>
            <rFont val="Tahoma"/>
            <family val="2"/>
          </rPr>
          <t xml:space="preserve">
</t>
        </r>
      </text>
    </comment>
    <comment ref="B23" authorId="0">
      <text>
        <r>
          <rPr>
            <b/>
            <sz val="9"/>
            <rFont val="Tahoma"/>
            <family val="2"/>
          </rPr>
          <t>кол-во в порции 77-95</t>
        </r>
        <r>
          <rPr>
            <sz val="9"/>
            <rFont val="Tahoma"/>
            <family val="2"/>
          </rPr>
          <t xml:space="preserve">
</t>
        </r>
      </text>
    </comment>
    <comment ref="C23" authorId="0">
      <text>
        <r>
          <rPr>
            <b/>
            <sz val="9"/>
            <rFont val="Tahoma"/>
            <family val="2"/>
          </rPr>
          <t>кол-во в порции 86-105</t>
        </r>
      </text>
    </comment>
    <comment ref="B2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кол-во в порции 40-51
</t>
        </r>
      </text>
    </comment>
    <comment ref="C2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кол-во в порции 60-76
</t>
        </r>
      </text>
    </comment>
    <comment ref="D27" authorId="0">
      <text>
        <r>
          <rPr>
            <b/>
            <sz val="9"/>
            <rFont val="Tahoma"/>
            <family val="2"/>
          </rPr>
          <t xml:space="preserve">до 2019 ставили ср цену
</t>
        </r>
        <r>
          <rPr>
            <sz val="9"/>
            <rFont val="Tahoma"/>
            <family val="2"/>
          </rPr>
          <t xml:space="preserve">
</t>
        </r>
      </text>
    </comment>
    <comment ref="D28" authorId="0">
      <text>
        <r>
          <rPr>
            <b/>
            <sz val="9"/>
            <rFont val="Tahoma"/>
            <family val="2"/>
          </rPr>
          <t xml:space="preserve">до 2019 ставили ср цену
</t>
        </r>
        <r>
          <rPr>
            <sz val="9"/>
            <rFont val="Tahoma"/>
            <family val="2"/>
          </rPr>
          <t xml:space="preserve">
</t>
        </r>
      </text>
    </comment>
    <comment ref="A18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кол-во в порции меняется</t>
        </r>
      </text>
    </comment>
    <comment ref="A19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кол-во в порции меняется</t>
        </r>
      </text>
    </comment>
    <comment ref="A20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кол-во в порции меняется</t>
        </r>
      </text>
    </comment>
  </commentList>
</comments>
</file>

<file path=xl/comments8.xml><?xml version="1.0" encoding="utf-8"?>
<comments xmlns="http://schemas.openxmlformats.org/spreadsheetml/2006/main">
  <authors>
    <author>user</author>
    <author>Tanya</author>
  </authors>
  <commentList>
    <comment ref="A1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кол-во в порции меняется</t>
        </r>
      </text>
    </comment>
    <comment ref="A23" authorId="1">
      <text>
        <r>
          <rPr>
            <sz val="9"/>
            <rFont val="Tahoma"/>
            <family val="2"/>
          </rPr>
          <t xml:space="preserve">кол-во в порции меняется
</t>
        </r>
      </text>
    </comment>
    <comment ref="A2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кол-во в порции меняется
</t>
        </r>
      </text>
    </comment>
    <comment ref="A27" authorId="1">
      <text>
        <r>
          <rPr>
            <b/>
            <sz val="9"/>
            <rFont val="Tahoma"/>
            <family val="2"/>
          </rPr>
          <t>до 2019 ставили ср цену</t>
        </r>
        <r>
          <rPr>
            <sz val="9"/>
            <rFont val="Tahoma"/>
            <family val="2"/>
          </rPr>
          <t xml:space="preserve">
</t>
        </r>
      </text>
    </comment>
    <comment ref="A28" authorId="1">
      <text>
        <r>
          <rPr>
            <b/>
            <sz val="9"/>
            <rFont val="Tahoma"/>
            <family val="2"/>
          </rPr>
          <t xml:space="preserve">до 2019 ставили ср цену
</t>
        </r>
        <r>
          <rPr>
            <sz val="9"/>
            <rFont val="Tahoma"/>
            <family val="2"/>
          </rPr>
          <t xml:space="preserve">
</t>
        </r>
      </text>
    </comment>
    <comment ref="B23" authorId="1">
      <text>
        <r>
          <rPr>
            <b/>
            <sz val="9"/>
            <rFont val="Tahoma"/>
            <family val="2"/>
          </rPr>
          <t>кол-во в порции 77-95</t>
        </r>
        <r>
          <rPr>
            <sz val="9"/>
            <rFont val="Tahoma"/>
            <family val="2"/>
          </rPr>
          <t xml:space="preserve">
</t>
        </r>
      </text>
    </comment>
    <comment ref="C23" authorId="1">
      <text>
        <r>
          <rPr>
            <b/>
            <sz val="9"/>
            <rFont val="Tahoma"/>
            <family val="2"/>
          </rPr>
          <t>кол-во в порции 86-105</t>
        </r>
      </text>
    </comment>
    <comment ref="B2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кол-во в порции 40-51
</t>
        </r>
      </text>
    </comment>
    <comment ref="C2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кол-во в порции 60-76
</t>
        </r>
      </text>
    </comment>
  </commentList>
</comments>
</file>

<file path=xl/comments9.xml><?xml version="1.0" encoding="utf-8"?>
<comments xmlns="http://schemas.openxmlformats.org/spreadsheetml/2006/main">
  <authors>
    <author>Tanya</author>
    <author>user</author>
  </authors>
  <commentList>
    <comment ref="H29" authorId="0">
      <text>
        <r>
          <rPr>
            <b/>
            <sz val="9"/>
            <rFont val="Tahoma"/>
            <family val="2"/>
          </rPr>
          <t>до 2019 ставили ср цену</t>
        </r>
        <r>
          <rPr>
            <sz val="9"/>
            <rFont val="Tahoma"/>
            <family val="2"/>
          </rPr>
          <t xml:space="preserve">
</t>
        </r>
      </text>
    </comment>
    <comment ref="H30" authorId="0">
      <text>
        <r>
          <rPr>
            <b/>
            <sz val="9"/>
            <rFont val="Tahoma"/>
            <family val="2"/>
          </rPr>
          <t xml:space="preserve">до 2019 ставили ср цену
</t>
        </r>
      </text>
    </comment>
    <comment ref="K29" authorId="0">
      <text>
        <r>
          <rPr>
            <b/>
            <sz val="9"/>
            <rFont val="Tahoma"/>
            <family val="2"/>
          </rPr>
          <t xml:space="preserve">до 2019 ставили ср цену
</t>
        </r>
        <r>
          <rPr>
            <sz val="9"/>
            <rFont val="Tahoma"/>
            <family val="2"/>
          </rPr>
          <t xml:space="preserve">
</t>
        </r>
      </text>
    </comment>
    <comment ref="K30" authorId="0">
      <text>
        <r>
          <rPr>
            <b/>
            <sz val="9"/>
            <rFont val="Tahoma"/>
            <family val="2"/>
          </rPr>
          <t xml:space="preserve">до 2019 ставили ср цену
</t>
        </r>
        <r>
          <rPr>
            <sz val="9"/>
            <rFont val="Tahoma"/>
            <family val="2"/>
          </rPr>
          <t xml:space="preserve">
</t>
        </r>
      </text>
    </comment>
    <comment ref="H25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кол-во в порции меняется
</t>
        </r>
      </text>
    </comment>
    <comment ref="H26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кол-во в порции меняется
</t>
        </r>
      </text>
    </comment>
    <comment ref="I25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кол-во в порции 77-95</t>
        </r>
      </text>
    </comment>
    <comment ref="J25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кол-во в порции 86-105</t>
        </r>
      </text>
    </comment>
    <comment ref="I26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кол-во в порции 40-51</t>
        </r>
      </text>
    </comment>
    <comment ref="J26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кол-во в порции 60-76</t>
        </r>
      </text>
    </comment>
    <comment ref="H20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кол-во в порции меняется</t>
        </r>
      </text>
    </comment>
    <comment ref="H2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кол-во в порции меняется</t>
        </r>
      </text>
    </comment>
    <comment ref="H22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кол-во в порции меняется</t>
        </r>
      </text>
    </comment>
    <comment ref="I20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кол-во в порции меняется</t>
        </r>
      </text>
    </comment>
    <comment ref="J20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кол-во в порции меняется</t>
        </r>
      </text>
    </comment>
    <comment ref="I2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кол-во в порции меняется</t>
        </r>
      </text>
    </comment>
    <comment ref="J2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кол-во в порции меняется</t>
        </r>
      </text>
    </comment>
  </commentList>
</comments>
</file>

<file path=xl/sharedStrings.xml><?xml version="1.0" encoding="utf-8"?>
<sst xmlns="http://schemas.openxmlformats.org/spreadsheetml/2006/main" count="1132" uniqueCount="250">
  <si>
    <t>Цена 1 кг; 1 штуки; 1 л; (руб)</t>
  </si>
  <si>
    <t>7  -  10 лет</t>
  </si>
  <si>
    <t>11 -  18 лет</t>
  </si>
  <si>
    <t>Макаронные изделия</t>
  </si>
  <si>
    <t>Картофель</t>
  </si>
  <si>
    <t>Фрукты (плоды) свежие</t>
  </si>
  <si>
    <t>Сметана (массовая доля жира не более 15%)</t>
  </si>
  <si>
    <t>1 шт</t>
  </si>
  <si>
    <t>Какао</t>
  </si>
  <si>
    <t>Дрожжи хлебопекарные</t>
  </si>
  <si>
    <t>Итого:</t>
  </si>
  <si>
    <t>Примечание: для культурно-массовых и физкультурно-спортивных мероприятий:</t>
  </si>
  <si>
    <t>Краевые мероприятия - увеличение норм на 50%</t>
  </si>
  <si>
    <t>СУТОЧНАЯ  НОРМА  ПИТАНИЯ</t>
  </si>
  <si>
    <t xml:space="preserve">                  НОРМА  ПИТАНИЯ  В  ДЕНЬ  В  ДЕТСКИХ  ДОШКОЛЬНЫХ УЧРЕЖДЕНИЯХ</t>
  </si>
  <si>
    <t>Наименование пищевого продукта или группы пищевых продуктов</t>
  </si>
  <si>
    <t>Цена за 1 кг. (л), руб.</t>
  </si>
  <si>
    <t>Стоимость набора продуктов по норме, руб.</t>
  </si>
  <si>
    <t>1-3 года</t>
  </si>
  <si>
    <t>3-7 лет</t>
  </si>
  <si>
    <t>Сметана с м.д.ж. не более 15%</t>
  </si>
  <si>
    <t>Рыба (филе), в т.ч. филе слабо или малосоленое</t>
  </si>
  <si>
    <t xml:space="preserve">Овощи, зелень </t>
  </si>
  <si>
    <t>Фрукты (плоды) сухие</t>
  </si>
  <si>
    <t>Соки фруктовые (овощные)</t>
  </si>
  <si>
    <t>Напитки витаминизированные (готовый напиток)</t>
  </si>
  <si>
    <t>Хлеб ржаной (ржано-пшеничный)</t>
  </si>
  <si>
    <t>Хлеб пшеничный или хлеб зерновой</t>
  </si>
  <si>
    <t>Крупы (злаки), бобовые</t>
  </si>
  <si>
    <t xml:space="preserve">Мука пшеничная  хлебопекарная  </t>
  </si>
  <si>
    <t xml:space="preserve">Мука картофельная (крахмал) </t>
  </si>
  <si>
    <t xml:space="preserve">Масло растительное  </t>
  </si>
  <si>
    <t xml:space="preserve">Кондитерские изделия  </t>
  </si>
  <si>
    <t xml:space="preserve">Чай, включая фиточай     </t>
  </si>
  <si>
    <t xml:space="preserve">Какао-порошок  </t>
  </si>
  <si>
    <t xml:space="preserve">Сахар </t>
  </si>
  <si>
    <t xml:space="preserve">Соль пищевая поваренная  </t>
  </si>
  <si>
    <t>Стоимость питания в день на одного ребенка</t>
  </si>
  <si>
    <t>Средняя  стоимость  питания  на  одного  ребенка</t>
  </si>
  <si>
    <t>согласно СанПиН 2.4.4.2599-10</t>
  </si>
  <si>
    <t>Количество продуктов в зависимости от возраста детей в г., мл.</t>
  </si>
  <si>
    <r>
      <t xml:space="preserve">Среднесуточный  набор  продуктов в  зависимости от возраста обучающихся, </t>
    </r>
    <r>
      <rPr>
        <b/>
        <sz val="9"/>
        <rFont val="Times New Roman"/>
        <family val="1"/>
      </rPr>
      <t>граммы</t>
    </r>
  </si>
  <si>
    <r>
      <t xml:space="preserve">Среднесуточный  набор  продуктов в  зависимости от возраста обучающихся в  </t>
    </r>
    <r>
      <rPr>
        <b/>
        <sz val="9"/>
        <rFont val="Times New Roman"/>
        <family val="1"/>
      </rPr>
      <t>денежном выражении</t>
    </r>
    <r>
      <rPr>
        <sz val="9"/>
        <rFont val="Times New Roman"/>
        <family val="1"/>
      </rPr>
      <t xml:space="preserve">,      </t>
    </r>
    <r>
      <rPr>
        <b/>
        <sz val="9"/>
        <rFont val="Times New Roman"/>
        <family val="1"/>
      </rPr>
      <t>руб</t>
    </r>
  </si>
  <si>
    <r>
      <t xml:space="preserve">Набор  продуктов в  зависимости от возраста обучающихся при 2-х разовом питании,      </t>
    </r>
    <r>
      <rPr>
        <b/>
        <sz val="9"/>
        <rFont val="Times New Roman"/>
        <family val="1"/>
      </rPr>
      <t>граммы</t>
    </r>
  </si>
  <si>
    <r>
      <t xml:space="preserve">Набор  продуктов в  зависимости от возраста обучающихся при 2-х разовом питании в  </t>
    </r>
    <r>
      <rPr>
        <b/>
        <sz val="9"/>
        <rFont val="Times New Roman"/>
        <family val="1"/>
      </rPr>
      <t>денежном выражении</t>
    </r>
    <r>
      <rPr>
        <sz val="9"/>
        <rFont val="Times New Roman"/>
        <family val="1"/>
      </rPr>
      <t xml:space="preserve">,  </t>
    </r>
    <r>
      <rPr>
        <b/>
        <sz val="9"/>
        <rFont val="Times New Roman"/>
        <family val="1"/>
      </rPr>
      <t>руб</t>
    </r>
  </si>
  <si>
    <t xml:space="preserve">Птица (куры 1 кат.потр./цыплята-бройлеры                                     1 кат потр./индейка 1 кат. потр.) </t>
  </si>
  <si>
    <t>0,5 шт</t>
  </si>
  <si>
    <t>0,6 шт</t>
  </si>
  <si>
    <t>(для лагерей дневного пребывания при школах при 2-х разовом питании)</t>
  </si>
  <si>
    <t xml:space="preserve">Наименование продуктов    </t>
  </si>
  <si>
    <t>Цена за  1 кг, л., руб.</t>
  </si>
  <si>
    <t>7 - 10 лет</t>
  </si>
  <si>
    <t>11 лет и старше</t>
  </si>
  <si>
    <t xml:space="preserve">Хлеб ржаной (ржано-пшеничный)  </t>
  </si>
  <si>
    <t xml:space="preserve">Хлеб пшеничный                 </t>
  </si>
  <si>
    <t xml:space="preserve">Мука пшеничная                 </t>
  </si>
  <si>
    <t xml:space="preserve">Крупы, бобовые                 </t>
  </si>
  <si>
    <t xml:space="preserve">Макаронные изделия             </t>
  </si>
  <si>
    <t xml:space="preserve">Картофель                      </t>
  </si>
  <si>
    <t xml:space="preserve">Овощи свежие, зелень           </t>
  </si>
  <si>
    <t xml:space="preserve">Фрукты (плоды) свежие          </t>
  </si>
  <si>
    <t>Фрукты (плоды) сухие, в т.ч.шиповник</t>
  </si>
  <si>
    <t>Соки плодоовощные, напитки витаминизированные</t>
  </si>
  <si>
    <t>Мясо жилованное (мясо на кости) 1 кат.</t>
  </si>
  <si>
    <t>Цыплята 1 категории потрошенные (куры 1 кат.п/п)</t>
  </si>
  <si>
    <t xml:space="preserve">Рыба-филе                      </t>
  </si>
  <si>
    <t xml:space="preserve">Колбасные изделия              </t>
  </si>
  <si>
    <t>Молоко (массовая доля жира 2,5%, 3,2 %)</t>
  </si>
  <si>
    <t>Кисломолочные продукты (массовая доля 2,5%, 3,2%)</t>
  </si>
  <si>
    <t>Творог (массовая доля жира не  более 9%)</t>
  </si>
  <si>
    <t xml:space="preserve">Сыр                            </t>
  </si>
  <si>
    <t xml:space="preserve">Масло сливочное                </t>
  </si>
  <si>
    <t xml:space="preserve">Масло растительное             </t>
  </si>
  <si>
    <t xml:space="preserve">Яйцо диетическое               </t>
  </si>
  <si>
    <t>1 шт.</t>
  </si>
  <si>
    <t xml:space="preserve">Кондитерские изделия           </t>
  </si>
  <si>
    <t xml:space="preserve">Чай                            </t>
  </si>
  <si>
    <t xml:space="preserve">Какао                          </t>
  </si>
  <si>
    <t xml:space="preserve">Дрожжи хлебопекарные           </t>
  </si>
  <si>
    <t xml:space="preserve">Соль                           </t>
  </si>
  <si>
    <t>Школы</t>
  </si>
  <si>
    <t>кол-во детей</t>
  </si>
  <si>
    <t>Интернат</t>
  </si>
  <si>
    <t>Молоко и кисломолочные продукты с м.д.ж. не ниже 2,5%</t>
  </si>
  <si>
    <t>Творог, творожные изделия с м.д.ж. не менее 5%</t>
  </si>
  <si>
    <t>Сыр твердый</t>
  </si>
  <si>
    <t xml:space="preserve">Мясо (бескостное/на кости) </t>
  </si>
  <si>
    <t xml:space="preserve">Колбасные изделия </t>
  </si>
  <si>
    <t>Яйцо куриное столовое</t>
  </si>
  <si>
    <t>Кофейный напиток</t>
  </si>
  <si>
    <t>Соки плодоовощные, напитки витаминизированные, в т.ч. инстантные</t>
  </si>
  <si>
    <t>Загородный оздоровительный лагерь "Огонек"</t>
  </si>
  <si>
    <t>Учреждения</t>
  </si>
  <si>
    <t>Площадки</t>
  </si>
  <si>
    <t>Анализ норм питания детей по годам</t>
  </si>
  <si>
    <t>Темп роста 2013 г. к 2012 г.</t>
  </si>
  <si>
    <t>Темп роста 2014 г. к 2013 г.</t>
  </si>
  <si>
    <t>Темп роста 2015 г. к 2014 г.</t>
  </si>
  <si>
    <t xml:space="preserve">Утвержденая норма питания </t>
  </si>
  <si>
    <t>Примечание</t>
  </si>
  <si>
    <t>Количество продуктов в зависимости от возраста обучающихся в г, мл.</t>
  </si>
  <si>
    <t xml:space="preserve">норма на 1 ребенка в день </t>
  </si>
  <si>
    <t>кол-во дней площ</t>
  </si>
  <si>
    <t>4=1*2*3</t>
  </si>
  <si>
    <t>итого, руб</t>
  </si>
  <si>
    <t>выделено</t>
  </si>
  <si>
    <t>недостаток</t>
  </si>
  <si>
    <t>(2124600+12990)</t>
  </si>
  <si>
    <t>увеличение в %</t>
  </si>
  <si>
    <t>увеличение в руб</t>
  </si>
  <si>
    <t>0,1 % софинансировани</t>
  </si>
  <si>
    <t>%</t>
  </si>
  <si>
    <t>руб</t>
  </si>
  <si>
    <t xml:space="preserve">Масло коровье сладкосливочное  </t>
  </si>
  <si>
    <t>2015 г.</t>
  </si>
  <si>
    <t>руб.</t>
  </si>
  <si>
    <t>Темп роста 2016 г. к 2015 г.</t>
  </si>
  <si>
    <t>в детских оздоровительных лагерях на 2016 г.</t>
  </si>
  <si>
    <t>Кисломолочные продукты (массовая доля жира 2,5%, 3,2%)</t>
  </si>
  <si>
    <t>на  2016 год</t>
  </si>
  <si>
    <t xml:space="preserve"> норма 2015 г</t>
  </si>
  <si>
    <t>функционирующие в режиме полного дня (10,5 - 12-часового пребывания)</t>
  </si>
  <si>
    <t>функционирующие в режиме кратковременного пребывания (до 5 часов в день)</t>
  </si>
  <si>
    <t>согласно Сан.ПиН 2.4.1.3049-13</t>
  </si>
  <si>
    <t>согласно СанПиН  2.4.4.3155-13</t>
  </si>
  <si>
    <t>согласно СанПиН 2.4.5.2409-08</t>
  </si>
  <si>
    <t>СанПин 2.4.5.2409-08</t>
  </si>
  <si>
    <t>ДОУ (группы полного дня)</t>
  </si>
  <si>
    <t>ДОУ (группы кратковременного пребывания детей)</t>
  </si>
  <si>
    <t xml:space="preserve">Согласно СанПин 2.4.5.2409-08 пункта 6.14. раздела VI - при круглосуточном пребывании обучающихся, при пятиразовом питании: завтрак - 20%, обед - 30 - 35%, полдник - 15%, ужин - 25%, второй ужин - 5 - 10%.
</t>
  </si>
  <si>
    <t>СанПин 2.4.1.3049-13 пункта 11.7 раздела XI (при организации режима пребывания детей до 5 часов -организуется однократный прием пищи (завтрак)). Распределение калорийности по приемам пищи 25% от суточного рациона (пункт 15.4. завтрак-25%)</t>
  </si>
  <si>
    <t>Согласно СанПин 2.4.1.3049-13 пункта 15.11. раздела XV -  кратность приема пищи и режим питания детей при 10,5 - 12-часовом режиме работы учреждения - 4 - 5-разовое питание; пункта 15.4. раздела XV - распределение калорийности по приемам пищи 90% от суточного рациона (завтрак-25%, обед -35%, полдник-10%, ужин-20%)</t>
  </si>
  <si>
    <t>СанПин 2.4.4.3155-13 - круглосуточный режим работы лагеря</t>
  </si>
  <si>
    <t>Согласно СанПин 2.4.4.2599-10. пункта 2.1. раздела II - режим работы пребывания детей: с 8.30 до 14.30 часов, с организацией 2-разового питания (завтрак и обед). Распределение калорийности по приемам пищи 60% от суточного рациона (пункт 9.11. завтрак-25%, обед -35%)</t>
  </si>
  <si>
    <t>Темп роста 2017 г. к 2016 г.</t>
  </si>
  <si>
    <t xml:space="preserve">в загородном детском оздоровительном лагере "Огонёк"  </t>
  </si>
  <si>
    <t>НОРМА  ПИТАНИЯ ДЕТЕЙ</t>
  </si>
  <si>
    <t>2016 г.</t>
  </si>
  <si>
    <t>9=3/2*100</t>
  </si>
  <si>
    <t>Темп роста 2018 г. к 2017 г.</t>
  </si>
  <si>
    <t>10=4/3*100</t>
  </si>
  <si>
    <t>11=5/4*100</t>
  </si>
  <si>
    <t>12=6/5*100</t>
  </si>
  <si>
    <t>13=7/6*100</t>
  </si>
  <si>
    <t>14=8/7*100</t>
  </si>
  <si>
    <t>СОГЛАСОВАНО:</t>
  </si>
  <si>
    <t>УТВЕРЖДАЮ:</t>
  </si>
  <si>
    <t>И.о. руководителя МКУ УО</t>
  </si>
  <si>
    <t>Кежемского района</t>
  </si>
  <si>
    <t>2016 г</t>
  </si>
  <si>
    <t xml:space="preserve"> норма 2016 г</t>
  </si>
  <si>
    <t>Темп роста 2019 г. к 2018 г.</t>
  </si>
  <si>
    <t>15=9/8*100</t>
  </si>
  <si>
    <t>Приложение 1</t>
  </si>
  <si>
    <t>Приложение 2</t>
  </si>
  <si>
    <t>Приложение 3</t>
  </si>
  <si>
    <t>Приложение 4</t>
  </si>
  <si>
    <t>Приложение 5</t>
  </si>
  <si>
    <t>Темп роста 2020 г. к 2019 г.</t>
  </si>
  <si>
    <t>Молоко и кисломолочные продукты (ряженка, варенец, бифидок, кефир, йогурты, простокваша) с м.д.ж. не ниже 2,5%</t>
  </si>
  <si>
    <t>Колбасные изделия (сосиски, вареные колбасы, сардельки)</t>
  </si>
  <si>
    <t>Соки фруктовые, овощные (доля фруктовой части должна быть более 50%)</t>
  </si>
  <si>
    <t>16=10/9*100</t>
  </si>
  <si>
    <t>НОРМА  ПИТАНИЯ   ДЕТЕЙ  В  ИНТЕРНАТЕ ПРИ МБОУ КСОШ №2 (в день)</t>
  </si>
  <si>
    <r>
      <t>Количество продуктов в зависимости от возраста детей в г., мл.</t>
    </r>
    <r>
      <rPr>
        <b/>
        <sz val="10"/>
        <rFont val="Times New Roman"/>
        <family val="1"/>
      </rPr>
      <t>*</t>
    </r>
  </si>
  <si>
    <t>Нормы питания малообеспеченные</t>
  </si>
  <si>
    <t>ГОРЯЧИЙ ЗАВТРАК</t>
  </si>
  <si>
    <t>6-10 лет</t>
  </si>
  <si>
    <t>11-18 лет</t>
  </si>
  <si>
    <t>ГОРЯЧИЙ ОБЕД</t>
  </si>
  <si>
    <t>2015/2014 - индексация 1,05</t>
  </si>
  <si>
    <t>2016/2015 - индексация 1,066</t>
  </si>
  <si>
    <t>2017/2016 - индексация 1,053</t>
  </si>
  <si>
    <t>2018/2017 - индексация 1,376</t>
  </si>
  <si>
    <t>2019/2018 - индексация 1,039</t>
  </si>
  <si>
    <t>2020/2019 - индексация 1,039</t>
  </si>
  <si>
    <t xml:space="preserve">6-10 лет:  </t>
  </si>
  <si>
    <t>11 лет-до завершения обучения</t>
  </si>
  <si>
    <t>Приложение 6</t>
  </si>
  <si>
    <t>Темп роста 2021 г. к 2020 г.</t>
  </si>
  <si>
    <t>17=11/10*100</t>
  </si>
  <si>
    <t>на 2021 год</t>
  </si>
  <si>
    <r>
      <rPr>
        <sz val="10"/>
        <color indexed="30"/>
        <rFont val="Times New Roman"/>
        <family val="1"/>
      </rPr>
      <t>Напитки витаминизированные</t>
    </r>
    <r>
      <rPr>
        <sz val="9"/>
        <color indexed="30"/>
        <rFont val="Times New Roman"/>
        <family val="1"/>
      </rPr>
      <t xml:space="preserve"> (готовый напиток: промышленного выпуска без консервантов и искусственных пищевых добавок (массовая доля фруктового сока и/или пюре в напитках должна быть не менее 10%)</t>
    </r>
  </si>
  <si>
    <t>_____________________ Л.Н. Перетягина</t>
  </si>
  <si>
    <t>на  2021 год</t>
  </si>
  <si>
    <t>в детских оздоровительных лагерях на 2021 г.</t>
  </si>
  <si>
    <t>_____________________  Л.Н. Перетягина</t>
  </si>
  <si>
    <r>
      <t xml:space="preserve">Набор  пищевых  продуктов,  используемых  для  приготовления  блюд  и  напитков,  для  обучающихся  в </t>
    </r>
    <r>
      <rPr>
        <b/>
        <sz val="12"/>
        <rFont val="Times New Roman"/>
        <family val="1"/>
      </rPr>
      <t>общеобразовательных  учреждений  и учреждений дополнительного образования</t>
    </r>
    <r>
      <rPr>
        <sz val="12"/>
        <rFont val="Times New Roman"/>
        <family val="1"/>
      </rPr>
      <t xml:space="preserve">  Кежемского района   на</t>
    </r>
    <r>
      <rPr>
        <b/>
        <sz val="12"/>
        <rFont val="Times New Roman"/>
        <family val="1"/>
      </rPr>
      <t xml:space="preserve">  2021 </t>
    </r>
    <r>
      <rPr>
        <sz val="12"/>
        <rFont val="Times New Roman"/>
        <family val="1"/>
      </rPr>
      <t xml:space="preserve"> год </t>
    </r>
  </si>
  <si>
    <t>2021/2020 - индексация 1,036</t>
  </si>
  <si>
    <r>
      <rPr>
        <b/>
        <sz val="11"/>
        <rFont val="Times New Roman"/>
        <family val="1"/>
      </rPr>
      <t>СПРАВОЧНО</t>
    </r>
    <r>
      <rPr>
        <b/>
        <sz val="10"/>
        <rFont val="Times New Roman"/>
        <family val="1"/>
      </rPr>
      <t>:</t>
    </r>
    <r>
      <rPr>
        <sz val="10"/>
        <rFont val="Times New Roman"/>
        <family val="1"/>
      </rPr>
      <t xml:space="preserve"> В соответствии с Законом края от 27 декабря 2005 года № 17-4377 "О наделении органов местного самоуправления муниципальных районов и городских округов края государственными полномочиями по обеспечению питанием обучающихся  в муниципальных и частных общеобразовательных организациях по имеющим государственную аккредитацию основным общеобразовательным программ без взимания платы" </t>
    </r>
    <r>
      <rPr>
        <b/>
        <sz val="10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стоимость  продуктов питания</t>
    </r>
    <r>
      <rPr>
        <u val="single"/>
        <sz val="11"/>
        <rFont val="Times New Roman"/>
        <family val="1"/>
      </rPr>
      <t xml:space="preserve"> в Кежемском районе </t>
    </r>
    <r>
      <rPr>
        <b/>
        <u val="single"/>
        <sz val="11"/>
        <rFont val="Times New Roman"/>
        <family val="1"/>
      </rPr>
      <t>для расчета денежной компенсации взамен обеспечения бесплатным горячим завтраком и горячим обедом в день</t>
    </r>
    <r>
      <rPr>
        <u val="single"/>
        <sz val="11"/>
        <rFont val="Times New Roman"/>
        <family val="1"/>
      </rPr>
      <t xml:space="preserve"> на одного обучающегося с ограниченнными возможностями здоровья в 2021 году составляет</t>
    </r>
    <r>
      <rPr>
        <sz val="11"/>
        <rFont val="Times New Roman"/>
        <family val="1"/>
      </rPr>
      <t>:</t>
    </r>
  </si>
  <si>
    <t>Областные, республиканские мероприятия, Москва, Санкт-Петербург -  увеличение норм в 2 раза</t>
  </si>
  <si>
    <t>_____________________  О.И. Зиновьев</t>
  </si>
  <si>
    <t xml:space="preserve">Исполняющий полномочия </t>
  </si>
  <si>
    <t>Главы Кежемского района</t>
  </si>
  <si>
    <t>на 2022 год</t>
  </si>
  <si>
    <t>на  2022 год</t>
  </si>
  <si>
    <t>Цена (руб) за 1 кг, л, шт.</t>
  </si>
  <si>
    <t>на 202 г.</t>
  </si>
  <si>
    <t>на 2022 г.</t>
  </si>
  <si>
    <t>в детских оздоровительных лагерях на 2022 г.</t>
  </si>
  <si>
    <r>
      <t xml:space="preserve">Набор  пищевых  продуктов,  используемых  для  приготовления  блюд  и  напитков,  для  обучающихся  в </t>
    </r>
    <r>
      <rPr>
        <b/>
        <sz val="12"/>
        <rFont val="Times New Roman"/>
        <family val="1"/>
      </rPr>
      <t>общеобразовательных  учреждений  и учреждений дополнительного образования</t>
    </r>
    <r>
      <rPr>
        <sz val="12"/>
        <rFont val="Times New Roman"/>
        <family val="1"/>
      </rPr>
      <t xml:space="preserve">  Кежемского района                на</t>
    </r>
    <r>
      <rPr>
        <b/>
        <sz val="12"/>
        <rFont val="Times New Roman"/>
        <family val="1"/>
      </rPr>
      <t xml:space="preserve">  2022 </t>
    </r>
    <r>
      <rPr>
        <sz val="12"/>
        <rFont val="Times New Roman"/>
        <family val="1"/>
      </rPr>
      <t xml:space="preserve"> год </t>
    </r>
  </si>
  <si>
    <t>Темп роста 2022 г. к 2021 г.</t>
  </si>
  <si>
    <t>18=12/11*100</t>
  </si>
  <si>
    <t>2022/2021 - индексация 1,039</t>
  </si>
  <si>
    <r>
      <rPr>
        <b/>
        <sz val="11"/>
        <rFont val="Times New Roman"/>
        <family val="1"/>
      </rPr>
      <t>СПРАВОЧНО</t>
    </r>
    <r>
      <rPr>
        <b/>
        <sz val="10"/>
        <rFont val="Times New Roman"/>
        <family val="1"/>
      </rPr>
      <t>:</t>
    </r>
    <r>
      <rPr>
        <sz val="10"/>
        <rFont val="Times New Roman"/>
        <family val="1"/>
      </rPr>
      <t xml:space="preserve"> В соответствии с Законом края от 27 декабря 2005 года № 17-4377 "О наделении органов местного самоуправления муниципальных районов и городских округов края государственными полномочиями по обеспечению питанием обучающихся 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платы" </t>
    </r>
    <r>
      <rPr>
        <b/>
        <sz val="10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стоимость  продуктов питания</t>
    </r>
    <r>
      <rPr>
        <u val="single"/>
        <sz val="11"/>
        <rFont val="Times New Roman"/>
        <family val="1"/>
      </rPr>
      <t xml:space="preserve"> в Кежемском районе </t>
    </r>
    <r>
      <rPr>
        <b/>
        <u val="single"/>
        <sz val="11"/>
        <rFont val="Times New Roman"/>
        <family val="1"/>
      </rPr>
      <t>для расчета денежной компенсации взамен обеспечения бесплатным горячим завтраком и горячим обедом в день</t>
    </r>
    <r>
      <rPr>
        <u val="single"/>
        <sz val="11"/>
        <rFont val="Times New Roman"/>
        <family val="1"/>
      </rPr>
      <t xml:space="preserve"> на одного обучающегося с ограниченнными возможностями здоровья в 2022 году составляет</t>
    </r>
    <r>
      <rPr>
        <sz val="11"/>
        <rFont val="Times New Roman"/>
        <family val="1"/>
      </rPr>
      <t>:</t>
    </r>
  </si>
  <si>
    <t>ПОЛДНИК</t>
  </si>
  <si>
    <t>с09.03.21</t>
  </si>
  <si>
    <t xml:space="preserve"> Приложение 8</t>
  </si>
  <si>
    <t>Нормы питания (малообеспеченные)</t>
  </si>
  <si>
    <t>Молоко, молочная и кисломолочные продукция</t>
  </si>
  <si>
    <t>Творог (5% - 9% м.ж.д.)</t>
  </si>
  <si>
    <t>Сметана</t>
  </si>
  <si>
    <t xml:space="preserve">Сыр </t>
  </si>
  <si>
    <t>Мясо 1-й категории</t>
  </si>
  <si>
    <t xml:space="preserve">Птица (куры, цыплята-бройлеры, индейка - потрошеная, 1 кат.)                                   </t>
  </si>
  <si>
    <t>Рыба (филе), в т.ч. Филе слабо или малосоленое</t>
  </si>
  <si>
    <t>Яйцо шт.</t>
  </si>
  <si>
    <t>Овощи (свежие, замороженные, консервированные), включая соленые и квашеные (не более 10% от общего количества овощей), в т.ч. Томат-пюре, зелень, г</t>
  </si>
  <si>
    <t>Фрукты свежие</t>
  </si>
  <si>
    <t>Сухофрукты</t>
  </si>
  <si>
    <t>Сок фруктовые и овощные</t>
  </si>
  <si>
    <t>Витаминизированные напитки</t>
  </si>
  <si>
    <t>Хлеб ржаной</t>
  </si>
  <si>
    <t xml:space="preserve">Хлеб пшеничный </t>
  </si>
  <si>
    <t>Крупы, бобовые</t>
  </si>
  <si>
    <t>Масло сливочное</t>
  </si>
  <si>
    <t>Сахар (в том числе для приготовления блюд и напитков, в случае использования пищевой продукциипромышленного выпуска, содержащих сахар, выдача сахара должна быть уменьшена в зависимости от его содержания в используемом готовой пищевой продукции)</t>
  </si>
  <si>
    <t>Крахмал</t>
  </si>
  <si>
    <t>Субпродукты (печень, язык, сердце)</t>
  </si>
  <si>
    <t>7  -  11 лет</t>
  </si>
  <si>
    <t>12 лет и старше</t>
  </si>
  <si>
    <t xml:space="preserve">Фрукты свежие          </t>
  </si>
  <si>
    <t>Мясо 1 категории</t>
  </si>
  <si>
    <t>Птица (цыплята-бройлеры потрошеные - 1 кат.)</t>
  </si>
  <si>
    <t xml:space="preserve">Молоко </t>
  </si>
  <si>
    <t>Кисломолочная пищевая продукция</t>
  </si>
  <si>
    <t>Творог (5%-9% м.д.ж.)</t>
  </si>
  <si>
    <t xml:space="preserve">Сметана </t>
  </si>
  <si>
    <t xml:space="preserve">Яйцо, шт.      </t>
  </si>
  <si>
    <t>Специи</t>
  </si>
  <si>
    <t xml:space="preserve">Соль пищевая поваренная йодированная                          </t>
  </si>
  <si>
    <t>12 -  18 лет</t>
  </si>
  <si>
    <t>12 - 18 лет</t>
  </si>
  <si>
    <t>__________________  Л.Н. Перетягина</t>
  </si>
  <si>
    <t>согласно Сан.ПиН 2.3/2.4.3590-20</t>
  </si>
  <si>
    <t>согласно СанПиН  2.3/2.4.3590-20</t>
  </si>
  <si>
    <t>согласно СанПиН 2.3/2.4.3590-20</t>
  </si>
  <si>
    <t>11-13 лет</t>
  </si>
  <si>
    <t>с 01.05.22 по 30.09.22</t>
  </si>
  <si>
    <t>с 01.05.2022 по 30.09.2022 - индексация 20 %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</si>
</sst>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0"/>
    <numFmt numFmtId="194" formatCode="#,##0.0"/>
    <numFmt numFmtId="195" formatCode="0.000000"/>
    <numFmt numFmtId="196" formatCode="0.00000"/>
    <numFmt numFmtId="197" formatCode="0.0000"/>
    <numFmt numFmtId="198" formatCode="0.000"/>
    <numFmt numFmtId="199" formatCode="_-* #,##0.0_р_._-;\-* #,##0.0_р_._-;_-* &quot;-&quot;??_р_._-;_-@_-"/>
    <numFmt numFmtId="200" formatCode="[$-FC19]d\ mmmm\ yyyy\ &quot;г.&quot;"/>
    <numFmt numFmtId="201" formatCode="_(* #,##0.0_);_(* \(#,##0.0\);_(* &quot;-&quot;??_);_(@_)"/>
    <numFmt numFmtId="202" formatCode="_(* #,##0_);_(* \(#,##0\);_(* &quot;-&quot;??_);_(@_)"/>
    <numFmt numFmtId="203" formatCode="0.00000000"/>
    <numFmt numFmtId="204" formatCode="0.0000000"/>
  </numFmts>
  <fonts count="103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color indexed="12"/>
      <name val="Times New Roman"/>
      <family val="1"/>
    </font>
    <font>
      <sz val="12"/>
      <color indexed="30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Arial Unicode MS"/>
      <family val="2"/>
    </font>
    <font>
      <b/>
      <sz val="14"/>
      <name val="Arial Unicode MS"/>
      <family val="2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b/>
      <u val="single"/>
      <sz val="14"/>
      <name val="Arial Unicode MS"/>
      <family val="2"/>
    </font>
    <font>
      <sz val="10"/>
      <color indexed="30"/>
      <name val="Times New Roman"/>
      <family val="1"/>
    </font>
    <font>
      <sz val="9"/>
      <color indexed="30"/>
      <name val="Times New Roman"/>
      <family val="1"/>
    </font>
    <font>
      <b/>
      <sz val="8"/>
      <name val="Arial"/>
      <family val="2"/>
    </font>
    <font>
      <b/>
      <u val="single"/>
      <sz val="9"/>
      <name val="Tahoma"/>
      <family val="2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u val="single"/>
      <sz val="14"/>
      <color indexed="40"/>
      <name val="Arial Unicode MS"/>
      <family val="2"/>
    </font>
    <font>
      <b/>
      <sz val="14"/>
      <color indexed="8"/>
      <name val="Arial Unicode MS"/>
      <family val="2"/>
    </font>
    <font>
      <b/>
      <sz val="14"/>
      <color indexed="30"/>
      <name val="Arial Unicode MS"/>
      <family val="2"/>
    </font>
    <font>
      <b/>
      <sz val="14"/>
      <color indexed="17"/>
      <name val="Arial Unicode MS"/>
      <family val="2"/>
    </font>
    <font>
      <b/>
      <sz val="14"/>
      <color indexed="23"/>
      <name val="Arial Unicode MS"/>
      <family val="2"/>
    </font>
    <font>
      <b/>
      <sz val="14"/>
      <color indexed="21"/>
      <name val="Arial Unicode MS"/>
      <family val="2"/>
    </font>
    <font>
      <b/>
      <sz val="12"/>
      <color indexed="8"/>
      <name val="Arial Unicode MS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13"/>
      <color indexed="30"/>
      <name val="Times New Roman"/>
      <family val="1"/>
    </font>
    <font>
      <b/>
      <sz val="8"/>
      <color indexed="30"/>
      <name val="Arial"/>
      <family val="2"/>
    </font>
    <font>
      <sz val="11"/>
      <color indexed="30"/>
      <name val="Times New Roman"/>
      <family val="1"/>
    </font>
    <font>
      <b/>
      <sz val="14"/>
      <color indexed="30"/>
      <name val="Times New Roman"/>
      <family val="1"/>
    </font>
    <font>
      <b/>
      <sz val="10"/>
      <color indexed="30"/>
      <name val="Times New Roman"/>
      <family val="1"/>
    </font>
    <font>
      <b/>
      <sz val="10"/>
      <color indexed="10"/>
      <name val="Times New Roman"/>
      <family val="1"/>
    </font>
    <font>
      <sz val="12"/>
      <color indexed="8"/>
      <name val="Times New Roman"/>
      <family val="1"/>
    </font>
    <font>
      <b/>
      <sz val="9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u val="single"/>
      <sz val="14"/>
      <color rgb="FF00B0F0"/>
      <name val="Arial Unicode MS"/>
      <family val="2"/>
    </font>
    <font>
      <b/>
      <sz val="14"/>
      <color theme="1"/>
      <name val="Arial Unicode MS"/>
      <family val="2"/>
    </font>
    <font>
      <b/>
      <sz val="14"/>
      <color rgb="FF0070C0"/>
      <name val="Arial Unicode MS"/>
      <family val="2"/>
    </font>
    <font>
      <b/>
      <sz val="14"/>
      <color rgb="FF00B050"/>
      <name val="Arial Unicode MS"/>
      <family val="2"/>
    </font>
    <font>
      <b/>
      <sz val="14"/>
      <color theme="0" tint="-0.4999699890613556"/>
      <name val="Arial Unicode MS"/>
      <family val="2"/>
    </font>
    <font>
      <b/>
      <sz val="14"/>
      <color theme="8" tint="-0.4999699890613556"/>
      <name val="Arial Unicode MS"/>
      <family val="2"/>
    </font>
    <font>
      <b/>
      <sz val="12"/>
      <color theme="1"/>
      <name val="Arial Unicode MS"/>
      <family val="2"/>
    </font>
    <font>
      <b/>
      <sz val="10"/>
      <color rgb="FF0070C0"/>
      <name val="Arial"/>
      <family val="2"/>
    </font>
    <font>
      <sz val="10"/>
      <color rgb="FF0070C0"/>
      <name val="Times New Roman"/>
      <family val="1"/>
    </font>
    <font>
      <sz val="9"/>
      <color rgb="FF0070C0"/>
      <name val="Times New Roman"/>
      <family val="1"/>
    </font>
    <font>
      <sz val="10"/>
      <color rgb="FF0070C0"/>
      <name val="Arial"/>
      <family val="2"/>
    </font>
    <font>
      <b/>
      <sz val="13"/>
      <color rgb="FF0070C0"/>
      <name val="Times New Roman"/>
      <family val="1"/>
    </font>
    <font>
      <b/>
      <sz val="8"/>
      <color rgb="FF0070C0"/>
      <name val="Arial"/>
      <family val="2"/>
    </font>
    <font>
      <sz val="11"/>
      <color rgb="FF0070C0"/>
      <name val="Times New Roman"/>
      <family val="1"/>
    </font>
    <font>
      <b/>
      <sz val="14"/>
      <color rgb="FF0070C0"/>
      <name val="Times New Roman"/>
      <family val="1"/>
    </font>
    <font>
      <b/>
      <sz val="10"/>
      <color rgb="FF0070C0"/>
      <name val="Times New Roman"/>
      <family val="1"/>
    </font>
    <font>
      <b/>
      <sz val="10"/>
      <color rgb="FFFF0000"/>
      <name val="Times New Roman"/>
      <family val="1"/>
    </font>
    <font>
      <sz val="12"/>
      <color theme="1"/>
      <name val="Times New Roman"/>
      <family val="1"/>
    </font>
    <font>
      <b/>
      <sz val="9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EAEAEA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8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3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1" fillId="24" borderId="1" applyNumberFormat="0" applyAlignment="0" applyProtection="0"/>
    <xf numFmtId="0" fontId="72" fillId="25" borderId="2" applyNumberFormat="0" applyAlignment="0" applyProtection="0"/>
    <xf numFmtId="0" fontId="73" fillId="25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42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6" borderId="7" applyNumberFormat="0" applyAlignment="0" applyProtection="0"/>
    <xf numFmtId="0" fontId="19" fillId="0" borderId="0" applyNumberFormat="0" applyFill="0" applyBorder="0" applyAlignment="0" applyProtection="0"/>
    <xf numFmtId="0" fontId="76" fillId="27" borderId="0" applyNumberFormat="0" applyBorder="0" applyAlignment="0" applyProtection="0"/>
    <xf numFmtId="0" fontId="77" fillId="28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1" fillId="30" borderId="0" applyNumberFormat="0" applyBorder="0" applyAlignment="0" applyProtection="0"/>
  </cellStyleXfs>
  <cellXfs count="45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8" fillId="0" borderId="10" xfId="0" applyFont="1" applyBorder="1" applyAlignment="1">
      <alignment vertical="center"/>
    </xf>
    <xf numFmtId="4" fontId="8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9" fillId="0" borderId="0" xfId="0" applyFont="1" applyFill="1" applyBorder="1" applyAlignment="1">
      <alignment wrapText="1"/>
    </xf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Alignment="1">
      <alignment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 wrapText="1"/>
    </xf>
    <xf numFmtId="0" fontId="2" fillId="0" borderId="23" xfId="0" applyFont="1" applyFill="1" applyBorder="1" applyAlignment="1">
      <alignment wrapText="1"/>
    </xf>
    <xf numFmtId="0" fontId="2" fillId="0" borderId="24" xfId="0" applyFont="1" applyFill="1" applyBorder="1" applyAlignment="1">
      <alignment wrapText="1"/>
    </xf>
    <xf numFmtId="0" fontId="8" fillId="31" borderId="10" xfId="0" applyFont="1" applyFill="1" applyBorder="1" applyAlignment="1">
      <alignment horizontal="left" vertical="center"/>
    </xf>
    <xf numFmtId="0" fontId="8" fillId="31" borderId="10" xfId="0" applyFont="1" applyFill="1" applyBorder="1" applyAlignment="1">
      <alignment horizontal="center" vertical="center"/>
    </xf>
    <xf numFmtId="0" fontId="7" fillId="31" borderId="10" xfId="0" applyFont="1" applyFill="1" applyBorder="1" applyAlignment="1">
      <alignment horizontal="center" vertical="center" wrapText="1"/>
    </xf>
    <xf numFmtId="187" fontId="8" fillId="31" borderId="10" xfId="58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187" fontId="2" fillId="0" borderId="0" xfId="58" applyFont="1" applyFill="1" applyAlignment="1">
      <alignment/>
    </xf>
    <xf numFmtId="187" fontId="2" fillId="0" borderId="0" xfId="58" applyFont="1" applyAlignment="1">
      <alignment horizontal="center"/>
    </xf>
    <xf numFmtId="171" fontId="2" fillId="0" borderId="0" xfId="0" applyNumberFormat="1" applyFont="1" applyAlignment="1">
      <alignment/>
    </xf>
    <xf numFmtId="0" fontId="2" fillId="25" borderId="0" xfId="0" applyFont="1" applyFill="1" applyAlignment="1">
      <alignment horizontal="center"/>
    </xf>
    <xf numFmtId="2" fontId="3" fillId="25" borderId="10" xfId="0" applyNumberFormat="1" applyFont="1" applyFill="1" applyBorder="1" applyAlignment="1">
      <alignment horizontal="center" vertical="center"/>
    </xf>
    <xf numFmtId="2" fontId="2" fillId="25" borderId="0" xfId="0" applyNumberFormat="1" applyFont="1" applyFill="1" applyAlignment="1">
      <alignment horizontal="center"/>
    </xf>
    <xf numFmtId="0" fontId="5" fillId="32" borderId="10" xfId="0" applyFont="1" applyFill="1" applyBorder="1" applyAlignment="1">
      <alignment horizontal="left" vertical="center"/>
    </xf>
    <xf numFmtId="0" fontId="3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187" fontId="3" fillId="32" borderId="10" xfId="58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2" fontId="2" fillId="25" borderId="0" xfId="0" applyNumberFormat="1" applyFont="1" applyFill="1" applyAlignment="1">
      <alignment horizontal="right"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4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25" borderId="0" xfId="0" applyFont="1" applyFill="1" applyAlignment="1">
      <alignment horizontal="center" wrapText="1"/>
    </xf>
    <xf numFmtId="4" fontId="2" fillId="25" borderId="0" xfId="0" applyNumberFormat="1" applyFont="1" applyFill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4" fontId="2" fillId="25" borderId="28" xfId="0" applyNumberFormat="1" applyFont="1" applyFill="1" applyBorder="1" applyAlignment="1">
      <alignment horizont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25" borderId="14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25" borderId="31" xfId="0" applyFont="1" applyFill="1" applyBorder="1" applyAlignment="1">
      <alignment horizontal="center" vertical="center" wrapText="1"/>
    </xf>
    <xf numFmtId="2" fontId="2" fillId="0" borderId="27" xfId="0" applyNumberFormat="1" applyFont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left" vertical="top" wrapText="1"/>
    </xf>
    <xf numFmtId="0" fontId="2" fillId="25" borderId="0" xfId="0" applyFont="1" applyFill="1" applyBorder="1" applyAlignment="1">
      <alignment horizontal="center"/>
    </xf>
    <xf numFmtId="188" fontId="2" fillId="25" borderId="0" xfId="0" applyNumberFormat="1" applyFont="1" applyFill="1" applyAlignment="1">
      <alignment horizontal="right"/>
    </xf>
    <xf numFmtId="9" fontId="2" fillId="0" borderId="0" xfId="55" applyFont="1" applyAlignment="1">
      <alignment/>
    </xf>
    <xf numFmtId="3" fontId="2" fillId="0" borderId="0" xfId="0" applyNumberFormat="1" applyFont="1" applyAlignment="1">
      <alignment/>
    </xf>
    <xf numFmtId="0" fontId="3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center" vertical="center" wrapText="1"/>
    </xf>
    <xf numFmtId="1" fontId="4" fillId="33" borderId="10" xfId="58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88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2" fontId="2" fillId="33" borderId="0" xfId="0" applyNumberFormat="1" applyFont="1" applyFill="1" applyAlignment="1">
      <alignment horizontal="center" vertical="center"/>
    </xf>
    <xf numFmtId="2" fontId="2" fillId="33" borderId="0" xfId="0" applyNumberFormat="1" applyFont="1" applyFill="1" applyAlignment="1">
      <alignment horizontal="center"/>
    </xf>
    <xf numFmtId="188" fontId="2" fillId="34" borderId="0" xfId="0" applyNumberFormat="1" applyFont="1" applyFill="1" applyAlignment="1">
      <alignment horizontal="center"/>
    </xf>
    <xf numFmtId="188" fontId="2" fillId="34" borderId="0" xfId="0" applyNumberFormat="1" applyFont="1" applyFill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188" fontId="12" fillId="33" borderId="10" xfId="0" applyNumberFormat="1" applyFont="1" applyFill="1" applyBorder="1" applyAlignment="1">
      <alignment horizontal="center" vertical="center" wrapText="1"/>
    </xf>
    <xf numFmtId="0" fontId="12" fillId="33" borderId="2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87" fontId="3" fillId="0" borderId="0" xfId="58" applyFont="1" applyFill="1" applyBorder="1" applyAlignment="1">
      <alignment horizontal="center" vertical="center"/>
    </xf>
    <xf numFmtId="0" fontId="5" fillId="32" borderId="26" xfId="0" applyFont="1" applyFill="1" applyBorder="1" applyAlignment="1">
      <alignment horizontal="left" vertical="center"/>
    </xf>
    <xf numFmtId="0" fontId="3" fillId="32" borderId="27" xfId="0" applyFont="1" applyFill="1" applyBorder="1" applyAlignment="1">
      <alignment horizontal="center" vertical="center"/>
    </xf>
    <xf numFmtId="0" fontId="2" fillId="32" borderId="32" xfId="0" applyFont="1" applyFill="1" applyBorder="1" applyAlignment="1">
      <alignment horizontal="center" vertical="center" wrapText="1"/>
    </xf>
    <xf numFmtId="0" fontId="3" fillId="32" borderId="33" xfId="0" applyFont="1" applyFill="1" applyBorder="1" applyAlignment="1">
      <alignment horizontal="center" vertical="center"/>
    </xf>
    <xf numFmtId="0" fontId="2" fillId="32" borderId="28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2" fontId="2" fillId="0" borderId="34" xfId="0" applyNumberFormat="1" applyFont="1" applyBorder="1" applyAlignment="1">
      <alignment horizontal="center" vertical="center"/>
    </xf>
    <xf numFmtId="2" fontId="3" fillId="25" borderId="35" xfId="0" applyNumberFormat="1" applyFont="1" applyFill="1" applyBorder="1" applyAlignment="1">
      <alignment horizontal="center" vertical="center"/>
    </xf>
    <xf numFmtId="2" fontId="3" fillId="0" borderId="36" xfId="0" applyNumberFormat="1" applyFont="1" applyBorder="1" applyAlignment="1">
      <alignment horizontal="center" vertical="center"/>
    </xf>
    <xf numFmtId="2" fontId="3" fillId="0" borderId="31" xfId="0" applyNumberFormat="1" applyFont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0" fillId="0" borderId="0" xfId="0" applyBorder="1" applyAlignment="1">
      <alignment wrapText="1"/>
    </xf>
    <xf numFmtId="0" fontId="14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wrapText="1"/>
    </xf>
    <xf numFmtId="0" fontId="10" fillId="0" borderId="20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37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10" fillId="0" borderId="38" xfId="0" applyFont="1" applyFill="1" applyBorder="1" applyAlignment="1">
      <alignment horizontal="center" wrapText="1"/>
    </xf>
    <xf numFmtId="0" fontId="10" fillId="0" borderId="37" xfId="0" applyFont="1" applyFill="1" applyBorder="1" applyAlignment="1">
      <alignment horizontal="center" wrapText="1"/>
    </xf>
    <xf numFmtId="2" fontId="2" fillId="0" borderId="15" xfId="0" applyNumberFormat="1" applyFont="1" applyFill="1" applyBorder="1" applyAlignment="1">
      <alignment horizontal="center"/>
    </xf>
    <xf numFmtId="2" fontId="2" fillId="0" borderId="39" xfId="0" applyNumberFormat="1" applyFont="1" applyFill="1" applyBorder="1" applyAlignment="1">
      <alignment horizontal="center"/>
    </xf>
    <xf numFmtId="2" fontId="2" fillId="0" borderId="4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left"/>
    </xf>
    <xf numFmtId="2" fontId="0" fillId="0" borderId="0" xfId="0" applyNumberFormat="1" applyFont="1" applyBorder="1" applyAlignment="1">
      <alignment vertical="center" wrapText="1"/>
    </xf>
    <xf numFmtId="2" fontId="14" fillId="0" borderId="0" xfId="0" applyNumberFormat="1" applyFont="1" applyBorder="1" applyAlignment="1">
      <alignment horizontal="center" wrapText="1"/>
    </xf>
    <xf numFmtId="198" fontId="0" fillId="0" borderId="10" xfId="0" applyNumberFormat="1" applyFont="1" applyFill="1" applyBorder="1" applyAlignment="1">
      <alignment horizontal="center" vertical="center" wrapText="1"/>
    </xf>
    <xf numFmtId="0" fontId="3" fillId="10" borderId="41" xfId="0" applyFont="1" applyFill="1" applyBorder="1" applyAlignment="1">
      <alignment/>
    </xf>
    <xf numFmtId="0" fontId="3" fillId="10" borderId="29" xfId="0" applyFont="1" applyFill="1" applyBorder="1" applyAlignment="1">
      <alignment horizontal="center"/>
    </xf>
    <xf numFmtId="0" fontId="3" fillId="10" borderId="34" xfId="0" applyFont="1" applyFill="1" applyBorder="1" applyAlignment="1">
      <alignment horizontal="center"/>
    </xf>
    <xf numFmtId="2" fontId="3" fillId="10" borderId="36" xfId="0" applyNumberFormat="1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2" fontId="2" fillId="0" borderId="38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0" fontId="82" fillId="33" borderId="10" xfId="0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justify" vertical="center" wrapText="1"/>
    </xf>
    <xf numFmtId="0" fontId="82" fillId="0" borderId="10" xfId="0" applyFont="1" applyFill="1" applyBorder="1" applyAlignment="1">
      <alignment horizontal="left" vertical="center" wrapText="1"/>
    </xf>
    <xf numFmtId="0" fontId="83" fillId="0" borderId="10" xfId="0" applyFont="1" applyFill="1" applyBorder="1" applyAlignment="1">
      <alignment vertical="top" wrapText="1"/>
    </xf>
    <xf numFmtId="188" fontId="2" fillId="0" borderId="0" xfId="0" applyNumberFormat="1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3" fillId="0" borderId="10" xfId="0" applyFon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84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85" fillId="0" borderId="10" xfId="0" applyFont="1" applyBorder="1" applyAlignment="1">
      <alignment horizontal="center"/>
    </xf>
    <xf numFmtId="0" fontId="86" fillId="0" borderId="10" xfId="0" applyFont="1" applyBorder="1" applyAlignment="1">
      <alignment horizontal="right"/>
    </xf>
    <xf numFmtId="2" fontId="86" fillId="0" borderId="10" xfId="0" applyNumberFormat="1" applyFont="1" applyBorder="1" applyAlignment="1">
      <alignment horizontal="right"/>
    </xf>
    <xf numFmtId="0" fontId="85" fillId="0" borderId="0" xfId="0" applyFont="1" applyBorder="1" applyAlignment="1">
      <alignment horizontal="center"/>
    </xf>
    <xf numFmtId="0" fontId="87" fillId="0" borderId="0" xfId="0" applyFont="1" applyBorder="1" applyAlignment="1">
      <alignment horizontal="right"/>
    </xf>
    <xf numFmtId="0" fontId="86" fillId="0" borderId="0" xfId="0" applyFont="1" applyBorder="1" applyAlignment="1">
      <alignment horizontal="right"/>
    </xf>
    <xf numFmtId="0" fontId="88" fillId="0" borderId="0" xfId="0" applyFont="1" applyBorder="1" applyAlignment="1">
      <alignment horizontal="right"/>
    </xf>
    <xf numFmtId="0" fontId="89" fillId="0" borderId="0" xfId="0" applyFont="1" applyBorder="1" applyAlignment="1">
      <alignment horizontal="right"/>
    </xf>
    <xf numFmtId="0" fontId="24" fillId="0" borderId="0" xfId="0" applyFont="1" applyBorder="1" applyAlignment="1">
      <alignment horizontal="right"/>
    </xf>
    <xf numFmtId="0" fontId="90" fillId="0" borderId="0" xfId="0" applyFont="1" applyFill="1" applyBorder="1" applyAlignment="1">
      <alignment horizontal="left"/>
    </xf>
    <xf numFmtId="0" fontId="5" fillId="0" borderId="42" xfId="0" applyFont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39" xfId="0" applyNumberFormat="1" applyFont="1" applyFill="1" applyBorder="1" applyAlignment="1">
      <alignment horizontal="center" vertical="center" wrapText="1"/>
    </xf>
    <xf numFmtId="4" fontId="2" fillId="0" borderId="43" xfId="0" applyNumberFormat="1" applyFont="1" applyFill="1" applyBorder="1" applyAlignment="1">
      <alignment horizontal="center" vertical="center" wrapText="1"/>
    </xf>
    <xf numFmtId="4" fontId="2" fillId="0" borderId="44" xfId="0" applyNumberFormat="1" applyFont="1" applyFill="1" applyBorder="1" applyAlignment="1">
      <alignment horizontal="center" vertical="center" wrapText="1"/>
    </xf>
    <xf numFmtId="4" fontId="2" fillId="0" borderId="45" xfId="0" applyNumberFormat="1" applyFont="1" applyFill="1" applyBorder="1" applyAlignment="1">
      <alignment horizontal="center" vertical="center" wrapText="1"/>
    </xf>
    <xf numFmtId="4" fontId="2" fillId="0" borderId="46" xfId="0" applyNumberFormat="1" applyFont="1" applyFill="1" applyBorder="1" applyAlignment="1">
      <alignment horizontal="center" vertical="center" wrapText="1"/>
    </xf>
    <xf numFmtId="1" fontId="2" fillId="0" borderId="40" xfId="0" applyNumberFormat="1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1" fontId="2" fillId="0" borderId="47" xfId="0" applyNumberFormat="1" applyFont="1" applyFill="1" applyBorder="1" applyAlignment="1">
      <alignment horizontal="center" vertical="center" wrapText="1"/>
    </xf>
    <xf numFmtId="1" fontId="2" fillId="0" borderId="48" xfId="0" applyNumberFormat="1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188" fontId="2" fillId="0" borderId="47" xfId="0" applyNumberFormat="1" applyFont="1" applyFill="1" applyBorder="1" applyAlignment="1">
      <alignment horizontal="center" vertical="center" wrapText="1"/>
    </xf>
    <xf numFmtId="188" fontId="2" fillId="0" borderId="48" xfId="0" applyNumberFormat="1" applyFont="1" applyFill="1" applyBorder="1" applyAlignment="1">
      <alignment horizontal="center" vertical="center" wrapText="1"/>
    </xf>
    <xf numFmtId="1" fontId="2" fillId="0" borderId="49" xfId="0" applyNumberFormat="1" applyFont="1" applyFill="1" applyBorder="1" applyAlignment="1">
      <alignment horizontal="center" vertical="center" wrapText="1"/>
    </xf>
    <xf numFmtId="1" fontId="2" fillId="0" borderId="50" xfId="0" applyNumberFormat="1" applyFont="1" applyFill="1" applyBorder="1" applyAlignment="1">
      <alignment horizontal="center" vertical="center" wrapText="1"/>
    </xf>
    <xf numFmtId="1" fontId="2" fillId="0" borderId="40" xfId="0" applyNumberFormat="1" applyFont="1" applyFill="1" applyBorder="1" applyAlignment="1">
      <alignment horizontal="center"/>
    </xf>
    <xf numFmtId="0" fontId="0" fillId="6" borderId="43" xfId="0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vertical="center" wrapText="1"/>
    </xf>
    <xf numFmtId="2" fontId="0" fillId="6" borderId="10" xfId="0" applyNumberFormat="1" applyFont="1" applyFill="1" applyBorder="1" applyAlignment="1">
      <alignment vertical="center" wrapText="1"/>
    </xf>
    <xf numFmtId="0" fontId="91" fillId="6" borderId="10" xfId="0" applyFont="1" applyFill="1" applyBorder="1" applyAlignment="1">
      <alignment horizontal="center" vertical="center" wrapText="1"/>
    </xf>
    <xf numFmtId="0" fontId="92" fillId="0" borderId="10" xfId="0" applyFont="1" applyFill="1" applyBorder="1" applyAlignment="1">
      <alignment horizontal="center" vertical="center" wrapText="1"/>
    </xf>
    <xf numFmtId="188" fontId="92" fillId="0" borderId="10" xfId="0" applyNumberFormat="1" applyFont="1" applyFill="1" applyBorder="1" applyAlignment="1">
      <alignment horizontal="center" vertical="center" wrapText="1"/>
    </xf>
    <xf numFmtId="0" fontId="92" fillId="0" borderId="10" xfId="0" applyFont="1" applyFill="1" applyBorder="1" applyAlignment="1">
      <alignment horizontal="justify" vertical="center" wrapText="1"/>
    </xf>
    <xf numFmtId="0" fontId="92" fillId="0" borderId="10" xfId="0" applyFont="1" applyFill="1" applyBorder="1" applyAlignment="1">
      <alignment horizontal="left" vertical="center" wrapText="1"/>
    </xf>
    <xf numFmtId="0" fontId="93" fillId="0" borderId="10" xfId="0" applyFont="1" applyFill="1" applyBorder="1" applyAlignment="1">
      <alignment horizontal="left" vertical="center" wrapText="1"/>
    </xf>
    <xf numFmtId="0" fontId="92" fillId="0" borderId="10" xfId="0" applyFont="1" applyFill="1" applyBorder="1" applyAlignment="1">
      <alignment vertical="center" wrapText="1"/>
    </xf>
    <xf numFmtId="2" fontId="94" fillId="6" borderId="10" xfId="0" applyNumberFormat="1" applyFont="1" applyFill="1" applyBorder="1" applyAlignment="1">
      <alignment vertical="center" wrapText="1"/>
    </xf>
    <xf numFmtId="0" fontId="82" fillId="0" borderId="10" xfId="0" applyFont="1" applyFill="1" applyBorder="1" applyAlignment="1">
      <alignment horizontal="center" vertical="center" wrapText="1"/>
    </xf>
    <xf numFmtId="187" fontId="95" fillId="31" borderId="10" xfId="58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96" fillId="0" borderId="10" xfId="0" applyFont="1" applyFill="1" applyBorder="1" applyAlignment="1">
      <alignment horizontal="center" vertical="center" wrapText="1"/>
    </xf>
    <xf numFmtId="0" fontId="97" fillId="0" borderId="10" xfId="0" applyFont="1" applyFill="1" applyBorder="1" applyAlignment="1">
      <alignment vertical="top" wrapText="1"/>
    </xf>
    <xf numFmtId="0" fontId="97" fillId="0" borderId="10" xfId="0" applyFont="1" applyFill="1" applyBorder="1" applyAlignment="1">
      <alignment horizontal="left" vertical="top" wrapText="1"/>
    </xf>
    <xf numFmtId="1" fontId="92" fillId="0" borderId="10" xfId="58" applyNumberFormat="1" applyFont="1" applyFill="1" applyBorder="1" applyAlignment="1">
      <alignment horizontal="center" vertical="center" wrapText="1"/>
    </xf>
    <xf numFmtId="0" fontId="92" fillId="0" borderId="10" xfId="0" applyFont="1" applyFill="1" applyBorder="1" applyAlignment="1">
      <alignment horizontal="center" vertical="center"/>
    </xf>
    <xf numFmtId="188" fontId="92" fillId="0" borderId="10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vertical="top" wrapText="1"/>
    </xf>
    <xf numFmtId="0" fontId="92" fillId="0" borderId="25" xfId="0" applyFont="1" applyFill="1" applyBorder="1" applyAlignment="1">
      <alignment horizontal="center" vertical="center" wrapText="1"/>
    </xf>
    <xf numFmtId="0" fontId="92" fillId="0" borderId="25" xfId="0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187" fontId="95" fillId="32" borderId="10" xfId="58" applyFont="1" applyFill="1" applyBorder="1" applyAlignment="1">
      <alignment horizontal="center" vertical="center"/>
    </xf>
    <xf numFmtId="0" fontId="92" fillId="0" borderId="10" xfId="0" applyFont="1" applyFill="1" applyBorder="1" applyAlignment="1">
      <alignment vertical="top" wrapText="1"/>
    </xf>
    <xf numFmtId="0" fontId="92" fillId="0" borderId="10" xfId="0" applyFont="1" applyFill="1" applyBorder="1" applyAlignment="1">
      <alignment horizontal="left" vertical="top" wrapText="1"/>
    </xf>
    <xf numFmtId="0" fontId="82" fillId="0" borderId="10" xfId="0" applyFont="1" applyFill="1" applyBorder="1" applyAlignment="1">
      <alignment horizontal="center" vertical="center"/>
    </xf>
    <xf numFmtId="1" fontId="82" fillId="0" borderId="47" xfId="0" applyNumberFormat="1" applyFont="1" applyFill="1" applyBorder="1" applyAlignment="1">
      <alignment horizontal="center" vertical="center" wrapText="1"/>
    </xf>
    <xf numFmtId="1" fontId="82" fillId="0" borderId="48" xfId="0" applyNumberFormat="1" applyFont="1" applyFill="1" applyBorder="1" applyAlignment="1">
      <alignment horizontal="center" vertical="center" wrapText="1"/>
    </xf>
    <xf numFmtId="187" fontId="95" fillId="32" borderId="51" xfId="58" applyFont="1" applyFill="1" applyBorder="1" applyAlignment="1">
      <alignment horizontal="center" vertical="center"/>
    </xf>
    <xf numFmtId="0" fontId="98" fillId="10" borderId="35" xfId="0" applyFont="1" applyFill="1" applyBorder="1" applyAlignment="1">
      <alignment horizontal="center"/>
    </xf>
    <xf numFmtId="1" fontId="2" fillId="0" borderId="18" xfId="0" applyNumberFormat="1" applyFont="1" applyFill="1" applyBorder="1" applyAlignment="1">
      <alignment horizontal="center"/>
    </xf>
    <xf numFmtId="2" fontId="99" fillId="35" borderId="10" xfId="0" applyNumberFormat="1" applyFont="1" applyFill="1" applyBorder="1" applyAlignment="1">
      <alignment/>
    </xf>
    <xf numFmtId="2" fontId="2" fillId="0" borderId="52" xfId="0" applyNumberFormat="1" applyFont="1" applyBorder="1" applyAlignment="1">
      <alignment horizontal="center"/>
    </xf>
    <xf numFmtId="2" fontId="2" fillId="0" borderId="53" xfId="0" applyNumberFormat="1" applyFont="1" applyBorder="1" applyAlignment="1">
      <alignment horizontal="center"/>
    </xf>
    <xf numFmtId="2" fontId="2" fillId="0" borderId="40" xfId="0" applyNumberFormat="1" applyFont="1" applyBorder="1" applyAlignment="1">
      <alignment horizontal="center"/>
    </xf>
    <xf numFmtId="2" fontId="2" fillId="0" borderId="39" xfId="0" applyNumberFormat="1" applyFont="1" applyBorder="1" applyAlignment="1">
      <alignment horizontal="center"/>
    </xf>
    <xf numFmtId="1" fontId="82" fillId="0" borderId="40" xfId="0" applyNumberFormat="1" applyFont="1" applyFill="1" applyBorder="1" applyAlignment="1">
      <alignment horizontal="center"/>
    </xf>
    <xf numFmtId="1" fontId="82" fillId="0" borderId="18" xfId="0" applyNumberFormat="1" applyFont="1" applyFill="1" applyBorder="1" applyAlignment="1">
      <alignment horizontal="center"/>
    </xf>
    <xf numFmtId="2" fontId="100" fillId="10" borderId="29" xfId="0" applyNumberFormat="1" applyFont="1" applyFill="1" applyBorder="1" applyAlignment="1">
      <alignment horizontal="center"/>
    </xf>
    <xf numFmtId="2" fontId="100" fillId="10" borderId="54" xfId="0" applyNumberFormat="1" applyFont="1" applyFill="1" applyBorder="1" applyAlignment="1">
      <alignment horizontal="center"/>
    </xf>
    <xf numFmtId="0" fontId="10" fillId="36" borderId="38" xfId="0" applyFont="1" applyFill="1" applyBorder="1" applyAlignment="1">
      <alignment horizontal="center" wrapText="1"/>
    </xf>
    <xf numFmtId="0" fontId="10" fillId="36" borderId="20" xfId="0" applyFont="1" applyFill="1" applyBorder="1" applyAlignment="1">
      <alignment horizontal="center" wrapText="1"/>
    </xf>
    <xf numFmtId="0" fontId="10" fillId="36" borderId="16" xfId="0" applyFont="1" applyFill="1" applyBorder="1" applyAlignment="1">
      <alignment horizontal="center" wrapText="1"/>
    </xf>
    <xf numFmtId="0" fontId="10" fillId="36" borderId="37" xfId="0" applyFont="1" applyFill="1" applyBorder="1" applyAlignment="1">
      <alignment horizontal="center" wrapText="1"/>
    </xf>
    <xf numFmtId="0" fontId="92" fillId="36" borderId="40" xfId="0" applyFont="1" applyFill="1" applyBorder="1" applyAlignment="1">
      <alignment horizontal="center"/>
    </xf>
    <xf numFmtId="0" fontId="92" fillId="36" borderId="18" xfId="0" applyFont="1" applyFill="1" applyBorder="1" applyAlignment="1">
      <alignment horizontal="center"/>
    </xf>
    <xf numFmtId="0" fontId="92" fillId="36" borderId="10" xfId="0" applyFont="1" applyFill="1" applyBorder="1" applyAlignment="1">
      <alignment horizontal="center" vertical="center"/>
    </xf>
    <xf numFmtId="2" fontId="2" fillId="36" borderId="15" xfId="0" applyNumberFormat="1" applyFont="1" applyFill="1" applyBorder="1" applyAlignment="1">
      <alignment horizontal="center"/>
    </xf>
    <xf numFmtId="2" fontId="2" fillId="36" borderId="39" xfId="0" applyNumberFormat="1" applyFont="1" applyFill="1" applyBorder="1" applyAlignment="1">
      <alignment horizontal="center"/>
    </xf>
    <xf numFmtId="0" fontId="92" fillId="36" borderId="47" xfId="0" applyFont="1" applyFill="1" applyBorder="1" applyAlignment="1">
      <alignment horizontal="center"/>
    </xf>
    <xf numFmtId="0" fontId="92" fillId="36" borderId="48" xfId="0" applyFont="1" applyFill="1" applyBorder="1" applyAlignment="1">
      <alignment horizontal="center"/>
    </xf>
    <xf numFmtId="0" fontId="82" fillId="36" borderId="47" xfId="0" applyFont="1" applyFill="1" applyBorder="1" applyAlignment="1">
      <alignment horizontal="center"/>
    </xf>
    <xf numFmtId="0" fontId="82" fillId="36" borderId="48" xfId="0" applyFont="1" applyFill="1" applyBorder="1" applyAlignment="1">
      <alignment horizontal="center"/>
    </xf>
    <xf numFmtId="0" fontId="82" fillId="36" borderId="10" xfId="0" applyFont="1" applyFill="1" applyBorder="1" applyAlignment="1">
      <alignment horizontal="center" vertical="center"/>
    </xf>
    <xf numFmtId="188" fontId="92" fillId="36" borderId="10" xfId="0" applyNumberFormat="1" applyFont="1" applyFill="1" applyBorder="1" applyAlignment="1">
      <alignment horizontal="center" vertical="center"/>
    </xf>
    <xf numFmtId="188" fontId="2" fillId="36" borderId="43" xfId="0" applyNumberFormat="1" applyFont="1" applyFill="1" applyBorder="1" applyAlignment="1">
      <alignment horizontal="center"/>
    </xf>
    <xf numFmtId="188" fontId="2" fillId="36" borderId="10" xfId="0" applyNumberFormat="1" applyFont="1" applyFill="1" applyBorder="1" applyAlignment="1">
      <alignment horizontal="center"/>
    </xf>
    <xf numFmtId="0" fontId="92" fillId="36" borderId="49" xfId="0" applyFont="1" applyFill="1" applyBorder="1" applyAlignment="1">
      <alignment horizontal="center"/>
    </xf>
    <xf numFmtId="0" fontId="92" fillId="36" borderId="50" xfId="0" applyFont="1" applyFill="1" applyBorder="1" applyAlignment="1">
      <alignment horizontal="center"/>
    </xf>
    <xf numFmtId="2" fontId="86" fillId="0" borderId="10" xfId="0" applyNumberFormat="1" applyFont="1" applyFill="1" applyBorder="1" applyAlignment="1">
      <alignment horizontal="right"/>
    </xf>
    <xf numFmtId="2" fontId="86" fillId="0" borderId="42" xfId="0" applyNumberFormat="1" applyFont="1" applyFill="1" applyBorder="1" applyAlignment="1">
      <alignment horizontal="center"/>
    </xf>
    <xf numFmtId="0" fontId="86" fillId="0" borderId="4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188" fontId="2" fillId="0" borderId="10" xfId="0" applyNumberFormat="1" applyFont="1" applyFill="1" applyBorder="1" applyAlignment="1">
      <alignment horizontal="center" vertical="center"/>
    </xf>
    <xf numFmtId="1" fontId="2" fillId="0" borderId="10" xfId="58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2" fontId="2" fillId="0" borderId="52" xfId="0" applyNumberFormat="1" applyFont="1" applyFill="1" applyBorder="1" applyAlignment="1">
      <alignment horizontal="center"/>
    </xf>
    <xf numFmtId="2" fontId="2" fillId="0" borderId="53" xfId="0" applyNumberFormat="1" applyFont="1" applyFill="1" applyBorder="1" applyAlignment="1">
      <alignment horizontal="center"/>
    </xf>
    <xf numFmtId="188" fontId="2" fillId="0" borderId="43" xfId="0" applyNumberFormat="1" applyFont="1" applyFill="1" applyBorder="1" applyAlignment="1">
      <alignment horizontal="center"/>
    </xf>
    <xf numFmtId="188" fontId="2" fillId="0" borderId="10" xfId="0" applyNumberFormat="1" applyFont="1" applyFill="1" applyBorder="1" applyAlignment="1">
      <alignment horizontal="center"/>
    </xf>
    <xf numFmtId="188" fontId="2" fillId="0" borderId="18" xfId="0" applyNumberFormat="1" applyFont="1" applyFill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34" fillId="0" borderId="0" xfId="0" applyFont="1" applyAlignment="1">
      <alignment/>
    </xf>
    <xf numFmtId="0" fontId="23" fillId="0" borderId="0" xfId="0" applyFont="1" applyAlignment="1">
      <alignment/>
    </xf>
    <xf numFmtId="0" fontId="5" fillId="0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33" fillId="0" borderId="0" xfId="0" applyFont="1" applyBorder="1" applyAlignment="1">
      <alignment/>
    </xf>
    <xf numFmtId="0" fontId="5" fillId="0" borderId="10" xfId="0" applyFont="1" applyFill="1" applyBorder="1" applyAlignment="1">
      <alignment horizontal="right" vertic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center"/>
    </xf>
    <xf numFmtId="2" fontId="1" fillId="0" borderId="10" xfId="0" applyNumberFormat="1" applyFont="1" applyFill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 vertical="center" wrapText="1"/>
    </xf>
    <xf numFmtId="188" fontId="2" fillId="0" borderId="40" xfId="0" applyNumberFormat="1" applyFont="1" applyFill="1" applyBorder="1" applyAlignment="1">
      <alignment horizontal="center" vertical="center" wrapText="1"/>
    </xf>
    <xf numFmtId="188" fontId="2" fillId="0" borderId="4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Fill="1" applyBorder="1" applyAlignment="1">
      <alignment vertical="center"/>
    </xf>
    <xf numFmtId="2" fontId="24" fillId="0" borderId="10" xfId="0" applyNumberFormat="1" applyFont="1" applyFill="1" applyBorder="1" applyAlignment="1">
      <alignment/>
    </xf>
    <xf numFmtId="0" fontId="36" fillId="0" borderId="10" xfId="0" applyFont="1" applyBorder="1" applyAlignment="1">
      <alignment vertical="center"/>
    </xf>
    <xf numFmtId="2" fontId="2" fillId="0" borderId="15" xfId="0" applyNumberFormat="1" applyFont="1" applyFill="1" applyBorder="1" applyAlignment="1">
      <alignment horizontal="center" vertical="center"/>
    </xf>
    <xf numFmtId="2" fontId="2" fillId="0" borderId="39" xfId="0" applyNumberFormat="1" applyFont="1" applyFill="1" applyBorder="1" applyAlignment="1">
      <alignment horizontal="center" vertical="center"/>
    </xf>
    <xf numFmtId="1" fontId="2" fillId="0" borderId="40" xfId="0" applyNumberFormat="1" applyFont="1" applyFill="1" applyBorder="1" applyAlignment="1">
      <alignment horizontal="center" vertical="center"/>
    </xf>
    <xf numFmtId="1" fontId="2" fillId="0" borderId="18" xfId="0" applyNumberFormat="1" applyFont="1" applyFill="1" applyBorder="1" applyAlignment="1">
      <alignment horizontal="center" vertical="center"/>
    </xf>
    <xf numFmtId="2" fontId="2" fillId="0" borderId="4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87" fontId="32" fillId="0" borderId="10" xfId="58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/>
    </xf>
    <xf numFmtId="4" fontId="2" fillId="0" borderId="25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vertical="center"/>
    </xf>
    <xf numFmtId="0" fontId="1" fillId="0" borderId="30" xfId="0" applyFont="1" applyFill="1" applyBorder="1" applyAlignment="1">
      <alignment horizontal="center" vertical="center"/>
    </xf>
    <xf numFmtId="2" fontId="2" fillId="0" borderId="34" xfId="0" applyNumberFormat="1" applyFont="1" applyFill="1" applyBorder="1" applyAlignment="1">
      <alignment horizontal="center" vertical="center"/>
    </xf>
    <xf numFmtId="2" fontId="3" fillId="0" borderId="35" xfId="0" applyNumberFormat="1" applyFont="1" applyFill="1" applyBorder="1" applyAlignment="1">
      <alignment horizontal="center" vertical="center"/>
    </xf>
    <xf numFmtId="2" fontId="3" fillId="0" borderId="36" xfId="0" applyNumberFormat="1" applyFont="1" applyFill="1" applyBorder="1" applyAlignment="1">
      <alignment horizontal="center" vertical="center"/>
    </xf>
    <xf numFmtId="2" fontId="3" fillId="0" borderId="31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187" fontId="32" fillId="0" borderId="51" xfId="58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3" fillId="0" borderId="35" xfId="0" applyFont="1" applyFill="1" applyBorder="1" applyAlignment="1">
      <alignment horizontal="center"/>
    </xf>
    <xf numFmtId="2" fontId="3" fillId="0" borderId="36" xfId="0" applyNumberFormat="1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/>
    </xf>
    <xf numFmtId="2" fontId="3" fillId="0" borderId="54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2" fontId="3" fillId="0" borderId="21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2" fontId="2" fillId="0" borderId="38" xfId="0" applyNumberFormat="1" applyFont="1" applyFill="1" applyBorder="1" applyAlignment="1">
      <alignment horizontal="center"/>
    </xf>
    <xf numFmtId="2" fontId="2" fillId="0" borderId="37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justify" vertical="center" wrapText="1"/>
    </xf>
    <xf numFmtId="0" fontId="101" fillId="0" borderId="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2" fontId="33" fillId="0" borderId="10" xfId="0" applyNumberFormat="1" applyFont="1" applyFill="1" applyBorder="1" applyAlignment="1">
      <alignment vertical="center"/>
    </xf>
    <xf numFmtId="2" fontId="33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10" fillId="0" borderId="55" xfId="0" applyFont="1" applyFill="1" applyBorder="1" applyAlignment="1">
      <alignment horizontal="center" vertical="top" wrapText="1"/>
    </xf>
    <xf numFmtId="0" fontId="10" fillId="0" borderId="56" xfId="0" applyFont="1" applyFill="1" applyBorder="1" applyAlignment="1">
      <alignment horizontal="center" vertical="top" wrapText="1"/>
    </xf>
    <xf numFmtId="0" fontId="10" fillId="0" borderId="57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55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0" fillId="0" borderId="57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58" xfId="0" applyFont="1" applyFill="1" applyBorder="1" applyAlignment="1">
      <alignment vertical="top" wrapText="1"/>
    </xf>
    <xf numFmtId="0" fontId="7" fillId="0" borderId="59" xfId="0" applyFont="1" applyFill="1" applyBorder="1" applyAlignment="1">
      <alignment vertical="top" wrapText="1"/>
    </xf>
    <xf numFmtId="0" fontId="7" fillId="0" borderId="60" xfId="0" applyFont="1" applyFill="1" applyBorder="1" applyAlignment="1">
      <alignment horizontal="center" vertical="top" wrapText="1"/>
    </xf>
    <xf numFmtId="0" fontId="7" fillId="0" borderId="61" xfId="0" applyFont="1" applyFill="1" applyBorder="1" applyAlignment="1">
      <alignment horizontal="center" vertical="top" wrapText="1"/>
    </xf>
    <xf numFmtId="0" fontId="7" fillId="0" borderId="61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2" fillId="0" borderId="63" xfId="0" applyFont="1" applyBorder="1" applyAlignment="1">
      <alignment horizontal="center"/>
    </xf>
    <xf numFmtId="0" fontId="7" fillId="0" borderId="48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7" fillId="0" borderId="25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25" borderId="25" xfId="0" applyFont="1" applyFill="1" applyBorder="1" applyAlignment="1">
      <alignment horizontal="center" vertical="top" wrapText="1"/>
    </xf>
    <xf numFmtId="0" fontId="7" fillId="25" borderId="11" xfId="0" applyFont="1" applyFill="1" applyBorder="1" applyAlignment="1">
      <alignment horizontal="center" vertical="top" wrapText="1"/>
    </xf>
    <xf numFmtId="0" fontId="7" fillId="0" borderId="48" xfId="0" applyFont="1" applyBorder="1" applyAlignment="1">
      <alignment horizontal="center" vertical="top" wrapText="1"/>
    </xf>
    <xf numFmtId="0" fontId="7" fillId="0" borderId="43" xfId="0" applyFont="1" applyBorder="1" applyAlignment="1">
      <alignment horizontal="center" vertical="top" wrapText="1"/>
    </xf>
    <xf numFmtId="0" fontId="2" fillId="0" borderId="58" xfId="0" applyFont="1" applyFill="1" applyBorder="1" applyAlignment="1">
      <alignment vertical="top" wrapText="1"/>
    </xf>
    <xf numFmtId="0" fontId="2" fillId="0" borderId="59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0" fillId="0" borderId="60" xfId="0" applyFont="1" applyFill="1" applyBorder="1" applyAlignment="1">
      <alignment horizontal="center"/>
    </xf>
    <xf numFmtId="0" fontId="10" fillId="0" borderId="64" xfId="0" applyFont="1" applyFill="1" applyBorder="1" applyAlignment="1">
      <alignment horizontal="center"/>
    </xf>
    <xf numFmtId="0" fontId="10" fillId="36" borderId="60" xfId="0" applyFont="1" applyFill="1" applyBorder="1" applyAlignment="1">
      <alignment horizontal="center" vertical="top" wrapText="1"/>
    </xf>
    <xf numFmtId="0" fontId="10" fillId="36" borderId="62" xfId="0" applyFont="1" applyFill="1" applyBorder="1" applyAlignment="1">
      <alignment horizontal="center" vertical="top" wrapText="1"/>
    </xf>
    <xf numFmtId="0" fontId="10" fillId="36" borderId="22" xfId="0" applyFont="1" applyFill="1" applyBorder="1" applyAlignment="1">
      <alignment horizontal="center" vertical="center" wrapText="1"/>
    </xf>
    <xf numFmtId="0" fontId="10" fillId="36" borderId="51" xfId="0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top" wrapText="1"/>
    </xf>
    <xf numFmtId="0" fontId="10" fillId="0" borderId="62" xfId="0" applyFont="1" applyFill="1" applyBorder="1" applyAlignment="1">
      <alignment horizontal="center" vertical="top" wrapText="1"/>
    </xf>
    <xf numFmtId="0" fontId="10" fillId="0" borderId="60" xfId="0" applyFont="1" applyFill="1" applyBorder="1" applyAlignment="1">
      <alignment horizontal="center" vertical="center" wrapText="1"/>
    </xf>
    <xf numFmtId="0" fontId="10" fillId="0" borderId="62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" fillId="0" borderId="65" xfId="0" applyFont="1" applyBorder="1" applyAlignment="1">
      <alignment horizontal="left" wrapText="1"/>
    </xf>
    <xf numFmtId="0" fontId="0" fillId="0" borderId="66" xfId="0" applyFont="1" applyBorder="1" applyAlignment="1">
      <alignment horizontal="left" wrapText="1"/>
    </xf>
    <xf numFmtId="0" fontId="0" fillId="0" borderId="67" xfId="0" applyFont="1" applyBorder="1" applyAlignment="1">
      <alignment horizontal="left" wrapText="1"/>
    </xf>
    <xf numFmtId="0" fontId="0" fillId="0" borderId="68" xfId="0" applyFont="1" applyBorder="1" applyAlignment="1">
      <alignment/>
    </xf>
    <xf numFmtId="0" fontId="0" fillId="0" borderId="69" xfId="0" applyFont="1" applyBorder="1" applyAlignment="1">
      <alignment/>
    </xf>
    <xf numFmtId="0" fontId="0" fillId="0" borderId="7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35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6" borderId="48" xfId="0" applyFont="1" applyFill="1" applyBorder="1" applyAlignment="1">
      <alignment horizontal="center" vertical="center" wrapText="1"/>
    </xf>
    <xf numFmtId="0" fontId="14" fillId="6" borderId="71" xfId="0" applyFont="1" applyFill="1" applyBorder="1" applyAlignment="1">
      <alignment horizontal="center" vertical="center" wrapText="1"/>
    </xf>
    <xf numFmtId="0" fontId="0" fillId="6" borderId="71" xfId="0" applyFill="1" applyBorder="1" applyAlignment="1">
      <alignment horizontal="center" vertical="center" wrapText="1"/>
    </xf>
    <xf numFmtId="0" fontId="0" fillId="6" borderId="43" xfId="0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2" fillId="0" borderId="10" xfId="0" applyFont="1" applyFill="1" applyBorder="1" applyAlignment="1">
      <alignment horizontal="center" vertical="center" wrapText="1"/>
    </xf>
    <xf numFmtId="0" fontId="14" fillId="6" borderId="4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L50"/>
  <sheetViews>
    <sheetView view="pageBreakPreview" zoomScale="90" zoomScaleSheetLayoutView="90" zoomScalePageLayoutView="0" workbookViewId="0" topLeftCell="G8">
      <selection activeCell="L41" sqref="L41"/>
    </sheetView>
  </sheetViews>
  <sheetFormatPr defaultColWidth="9.140625" defaultRowHeight="12.75"/>
  <cols>
    <col min="1" max="1" width="36.7109375" style="9" hidden="1" customWidth="1"/>
    <col min="2" max="3" width="11.7109375" style="9" hidden="1" customWidth="1"/>
    <col min="4" max="4" width="10.8515625" style="9" hidden="1" customWidth="1"/>
    <col min="5" max="5" width="12.8515625" style="9" hidden="1" customWidth="1"/>
    <col min="6" max="6" width="3.140625" style="9" hidden="1" customWidth="1"/>
    <col min="7" max="7" width="40.00390625" style="9" customWidth="1"/>
    <col min="8" max="9" width="11.7109375" style="9" customWidth="1"/>
    <col min="10" max="10" width="10.8515625" style="9" customWidth="1"/>
    <col min="11" max="12" width="12.8515625" style="9" customWidth="1"/>
    <col min="13" max="16384" width="9.140625" style="9" customWidth="1"/>
  </cols>
  <sheetData>
    <row r="1" spans="11:12" ht="12.75">
      <c r="K1" s="375" t="s">
        <v>153</v>
      </c>
      <c r="L1" s="375"/>
    </row>
    <row r="2" spans="7:12" ht="12.75">
      <c r="G2" s="158" t="s">
        <v>145</v>
      </c>
      <c r="J2" s="372" t="s">
        <v>146</v>
      </c>
      <c r="K2" s="372"/>
      <c r="L2" s="372"/>
    </row>
    <row r="3" spans="7:12" ht="12.75">
      <c r="G3" s="9" t="s">
        <v>192</v>
      </c>
      <c r="J3" s="373" t="s">
        <v>147</v>
      </c>
      <c r="K3" s="373"/>
      <c r="L3" s="373"/>
    </row>
    <row r="4" spans="7:12" ht="12.75">
      <c r="G4" s="9" t="s">
        <v>193</v>
      </c>
      <c r="J4" s="373" t="s">
        <v>148</v>
      </c>
      <c r="K4" s="373"/>
      <c r="L4" s="373"/>
    </row>
    <row r="5" spans="7:12" ht="18.75" customHeight="1">
      <c r="G5" s="9" t="s">
        <v>191</v>
      </c>
      <c r="J5" s="373" t="s">
        <v>183</v>
      </c>
      <c r="K5" s="373"/>
      <c r="L5" s="373"/>
    </row>
    <row r="6" spans="10:12" ht="12.75">
      <c r="J6" s="374"/>
      <c r="K6" s="374"/>
      <c r="L6" s="374"/>
    </row>
    <row r="7" spans="1:12" ht="12.75">
      <c r="A7" s="3"/>
      <c r="B7" s="3"/>
      <c r="C7" s="3"/>
      <c r="D7" s="3"/>
      <c r="E7" s="3"/>
      <c r="F7" s="3"/>
      <c r="G7" s="131"/>
      <c r="H7" s="131"/>
      <c r="I7" s="131"/>
      <c r="J7" s="131"/>
      <c r="K7" s="131"/>
      <c r="L7" s="131"/>
    </row>
    <row r="8" spans="1:12" ht="12.75">
      <c r="A8" s="376" t="s">
        <v>14</v>
      </c>
      <c r="B8" s="376"/>
      <c r="C8" s="376"/>
      <c r="D8" s="376"/>
      <c r="E8" s="376"/>
      <c r="F8" s="376"/>
      <c r="G8" s="380" t="s">
        <v>14</v>
      </c>
      <c r="H8" s="380"/>
      <c r="I8" s="380"/>
      <c r="J8" s="380"/>
      <c r="K8" s="380"/>
      <c r="L8" s="380"/>
    </row>
    <row r="9" spans="1:12" ht="15" customHeight="1">
      <c r="A9" s="374" t="s">
        <v>121</v>
      </c>
      <c r="B9" s="374"/>
      <c r="C9" s="374"/>
      <c r="D9" s="374"/>
      <c r="E9" s="374"/>
      <c r="F9" s="374"/>
      <c r="G9" s="381" t="s">
        <v>121</v>
      </c>
      <c r="H9" s="381"/>
      <c r="I9" s="381"/>
      <c r="J9" s="381"/>
      <c r="K9" s="381"/>
      <c r="L9" s="381"/>
    </row>
    <row r="10" spans="1:12" ht="12.75">
      <c r="A10" s="377" t="s">
        <v>119</v>
      </c>
      <c r="B10" s="377"/>
      <c r="C10" s="377"/>
      <c r="D10" s="377"/>
      <c r="E10" s="377"/>
      <c r="F10" s="377"/>
      <c r="G10" s="380" t="s">
        <v>181</v>
      </c>
      <c r="H10" s="380"/>
      <c r="I10" s="380"/>
      <c r="J10" s="380"/>
      <c r="K10" s="380"/>
      <c r="L10" s="380"/>
    </row>
    <row r="11" spans="1:12" ht="12.75">
      <c r="A11" s="88"/>
      <c r="B11" s="88"/>
      <c r="C11" s="88"/>
      <c r="D11" s="88"/>
      <c r="E11" s="88"/>
      <c r="F11" s="88"/>
      <c r="G11" s="134"/>
      <c r="H11" s="134"/>
      <c r="I11" s="134"/>
      <c r="J11" s="134"/>
      <c r="K11" s="134"/>
      <c r="L11" s="134"/>
    </row>
    <row r="12" spans="1:12" ht="12.75">
      <c r="A12" s="378" t="s">
        <v>123</v>
      </c>
      <c r="B12" s="378"/>
      <c r="C12" s="378"/>
      <c r="D12" s="378"/>
      <c r="E12" s="378"/>
      <c r="F12" s="378"/>
      <c r="G12" s="382" t="s">
        <v>123</v>
      </c>
      <c r="H12" s="382"/>
      <c r="I12" s="382"/>
      <c r="J12" s="382"/>
      <c r="K12" s="382"/>
      <c r="L12" s="382"/>
    </row>
    <row r="13" spans="4:12" ht="13.5" thickBot="1">
      <c r="D13" s="5"/>
      <c r="E13" s="5"/>
      <c r="F13" s="5"/>
      <c r="G13" s="13"/>
      <c r="H13" s="13"/>
      <c r="I13" s="13"/>
      <c r="J13" s="130"/>
      <c r="K13" s="130"/>
      <c r="L13" s="130"/>
    </row>
    <row r="14" spans="1:12" ht="41.25" customHeight="1">
      <c r="A14" s="379" t="s">
        <v>15</v>
      </c>
      <c r="B14" s="379" t="s">
        <v>40</v>
      </c>
      <c r="C14" s="379"/>
      <c r="D14" s="379" t="s">
        <v>16</v>
      </c>
      <c r="E14" s="379" t="s">
        <v>17</v>
      </c>
      <c r="F14" s="379"/>
      <c r="G14" s="383" t="s">
        <v>15</v>
      </c>
      <c r="H14" s="383" t="s">
        <v>164</v>
      </c>
      <c r="I14" s="383"/>
      <c r="J14" s="384" t="s">
        <v>0</v>
      </c>
      <c r="K14" s="383" t="s">
        <v>17</v>
      </c>
      <c r="L14" s="383"/>
    </row>
    <row r="15" spans="1:12" ht="15" customHeight="1" thickBot="1">
      <c r="A15" s="379"/>
      <c r="B15" s="6" t="s">
        <v>18</v>
      </c>
      <c r="C15" s="6" t="s">
        <v>19</v>
      </c>
      <c r="D15" s="379"/>
      <c r="E15" s="6" t="s">
        <v>18</v>
      </c>
      <c r="F15" s="6" t="s">
        <v>19</v>
      </c>
      <c r="G15" s="383"/>
      <c r="H15" s="132" t="s">
        <v>18</v>
      </c>
      <c r="I15" s="132" t="s">
        <v>19</v>
      </c>
      <c r="J15" s="385"/>
      <c r="K15" s="132" t="s">
        <v>18</v>
      </c>
      <c r="L15" s="132" t="s">
        <v>19</v>
      </c>
    </row>
    <row r="16" spans="1:12" ht="40.5" customHeight="1">
      <c r="A16" s="65" t="s">
        <v>159</v>
      </c>
      <c r="B16" s="89">
        <v>390</v>
      </c>
      <c r="C16" s="89">
        <v>450</v>
      </c>
      <c r="D16" s="92">
        <v>67</v>
      </c>
      <c r="E16" s="7">
        <f>B16/1000*D16</f>
        <v>26.130000000000003</v>
      </c>
      <c r="F16" s="7">
        <f>C16/1000*D16</f>
        <v>30.150000000000002</v>
      </c>
      <c r="G16" s="224" t="s">
        <v>159</v>
      </c>
      <c r="H16" s="196">
        <f>B16*90%</f>
        <v>351</v>
      </c>
      <c r="I16" s="196">
        <f>C16*90%</f>
        <v>405</v>
      </c>
      <c r="J16" s="229">
        <v>81</v>
      </c>
      <c r="K16" s="198">
        <f>H16/1000*J16</f>
        <v>28.430999999999997</v>
      </c>
      <c r="L16" s="198">
        <f>I16/1000*J16</f>
        <v>32.805</v>
      </c>
    </row>
    <row r="17" spans="1:12" ht="23.25" customHeight="1">
      <c r="A17" s="65" t="s">
        <v>84</v>
      </c>
      <c r="B17" s="89">
        <v>30</v>
      </c>
      <c r="C17" s="89">
        <v>40</v>
      </c>
      <c r="D17" s="92">
        <v>422</v>
      </c>
      <c r="E17" s="7">
        <f aca="true" t="shared" si="0" ref="E17:E22">B17/1000*D17</f>
        <v>12.66</v>
      </c>
      <c r="F17" s="7">
        <f aca="true" t="shared" si="1" ref="F17:F23">C17/1000*D17</f>
        <v>16.88</v>
      </c>
      <c r="G17" s="224" t="s">
        <v>84</v>
      </c>
      <c r="H17" s="196">
        <f aca="true" t="shared" si="2" ref="H17:H23">B17*90%</f>
        <v>27</v>
      </c>
      <c r="I17" s="196">
        <f aca="true" t="shared" si="3" ref="I17:I23">C17*90%</f>
        <v>36</v>
      </c>
      <c r="J17" s="229">
        <f>600-220</f>
        <v>380</v>
      </c>
      <c r="K17" s="198">
        <f aca="true" t="shared" si="4" ref="K17:K22">H17/1000*J17</f>
        <v>10.26</v>
      </c>
      <c r="L17" s="198">
        <f aca="true" t="shared" si="5" ref="L17:L23">I17/1000*J17</f>
        <v>13.68</v>
      </c>
    </row>
    <row r="18" spans="1:12" ht="15" customHeight="1">
      <c r="A18" s="65" t="s">
        <v>20</v>
      </c>
      <c r="B18" s="89">
        <v>9</v>
      </c>
      <c r="C18" s="89">
        <v>11</v>
      </c>
      <c r="D18" s="92">
        <v>240</v>
      </c>
      <c r="E18" s="7">
        <f t="shared" si="0"/>
        <v>2.1599999999999997</v>
      </c>
      <c r="F18" s="7">
        <f t="shared" si="1"/>
        <v>2.6399999999999997</v>
      </c>
      <c r="G18" s="224" t="s">
        <v>20</v>
      </c>
      <c r="H18" s="196">
        <f t="shared" si="2"/>
        <v>8.1</v>
      </c>
      <c r="I18" s="196">
        <f t="shared" si="3"/>
        <v>9.9</v>
      </c>
      <c r="J18" s="222">
        <v>270</v>
      </c>
      <c r="K18" s="198">
        <f t="shared" si="4"/>
        <v>2.187</v>
      </c>
      <c r="L18" s="198">
        <f t="shared" si="5"/>
        <v>2.673</v>
      </c>
    </row>
    <row r="19" spans="1:12" ht="15" customHeight="1">
      <c r="A19" s="65" t="s">
        <v>85</v>
      </c>
      <c r="B19" s="89">
        <v>4.3</v>
      </c>
      <c r="C19" s="89">
        <v>6.4</v>
      </c>
      <c r="D19" s="92">
        <v>420</v>
      </c>
      <c r="E19" s="7">
        <f t="shared" si="0"/>
        <v>1.806</v>
      </c>
      <c r="F19" s="7">
        <f t="shared" si="1"/>
        <v>2.688</v>
      </c>
      <c r="G19" s="224" t="s">
        <v>85</v>
      </c>
      <c r="H19" s="197">
        <f t="shared" si="2"/>
        <v>3.87</v>
      </c>
      <c r="I19" s="197">
        <f t="shared" si="3"/>
        <v>5.760000000000001</v>
      </c>
      <c r="J19" s="222">
        <v>650</v>
      </c>
      <c r="K19" s="198">
        <f t="shared" si="4"/>
        <v>2.5155000000000003</v>
      </c>
      <c r="L19" s="198">
        <f t="shared" si="5"/>
        <v>3.744</v>
      </c>
    </row>
    <row r="20" spans="1:12" ht="18" customHeight="1">
      <c r="A20" s="174" t="s">
        <v>86</v>
      </c>
      <c r="B20" s="173">
        <v>56</v>
      </c>
      <c r="C20" s="173">
        <v>63.24</v>
      </c>
      <c r="D20" s="92">
        <v>240</v>
      </c>
      <c r="E20" s="7">
        <f t="shared" si="0"/>
        <v>13.44</v>
      </c>
      <c r="F20" s="7">
        <f t="shared" si="1"/>
        <v>15.177600000000002</v>
      </c>
      <c r="G20" s="224" t="s">
        <v>86</v>
      </c>
      <c r="H20" s="196">
        <f t="shared" si="2"/>
        <v>50.4</v>
      </c>
      <c r="I20" s="196">
        <f t="shared" si="3"/>
        <v>56.916000000000004</v>
      </c>
      <c r="J20" s="222">
        <v>350</v>
      </c>
      <c r="K20" s="198">
        <f t="shared" si="4"/>
        <v>17.64</v>
      </c>
      <c r="L20" s="198">
        <f t="shared" si="5"/>
        <v>19.9206</v>
      </c>
    </row>
    <row r="21" spans="1:12" ht="28.5" customHeight="1">
      <c r="A21" s="175" t="s">
        <v>45</v>
      </c>
      <c r="B21" s="173">
        <v>22</v>
      </c>
      <c r="C21" s="173">
        <v>27</v>
      </c>
      <c r="D21" s="92">
        <v>175</v>
      </c>
      <c r="E21" s="7">
        <f t="shared" si="0"/>
        <v>3.8499999999999996</v>
      </c>
      <c r="F21" s="7">
        <f t="shared" si="1"/>
        <v>4.725</v>
      </c>
      <c r="G21" s="225" t="s">
        <v>45</v>
      </c>
      <c r="H21" s="196">
        <f t="shared" si="2"/>
        <v>19.8</v>
      </c>
      <c r="I21" s="196">
        <f t="shared" si="3"/>
        <v>24.3</v>
      </c>
      <c r="J21" s="222">
        <v>220</v>
      </c>
      <c r="K21" s="198">
        <f t="shared" si="4"/>
        <v>4.356000000000001</v>
      </c>
      <c r="L21" s="198">
        <f t="shared" si="5"/>
        <v>5.346</v>
      </c>
    </row>
    <row r="22" spans="1:12" ht="19.5" customHeight="1">
      <c r="A22" s="66" t="s">
        <v>21</v>
      </c>
      <c r="B22" s="89">
        <v>34</v>
      </c>
      <c r="C22" s="89">
        <v>39</v>
      </c>
      <c r="D22" s="92">
        <v>500</v>
      </c>
      <c r="E22" s="7">
        <f t="shared" si="0"/>
        <v>17</v>
      </c>
      <c r="F22" s="7">
        <f t="shared" si="1"/>
        <v>19.5</v>
      </c>
      <c r="G22" s="225" t="s">
        <v>21</v>
      </c>
      <c r="H22" s="196">
        <f t="shared" si="2"/>
        <v>30.6</v>
      </c>
      <c r="I22" s="196">
        <f t="shared" si="3"/>
        <v>35.1</v>
      </c>
      <c r="J22" s="229">
        <f>700-215</f>
        <v>485</v>
      </c>
      <c r="K22" s="198">
        <f t="shared" si="4"/>
        <v>14.841000000000001</v>
      </c>
      <c r="L22" s="198">
        <f t="shared" si="5"/>
        <v>17.0235</v>
      </c>
    </row>
    <row r="23" spans="1:12" ht="24.75" customHeight="1">
      <c r="A23" s="66" t="s">
        <v>87</v>
      </c>
      <c r="B23" s="89">
        <v>0</v>
      </c>
      <c r="C23" s="89">
        <v>7</v>
      </c>
      <c r="D23" s="92">
        <v>260</v>
      </c>
      <c r="E23" s="7">
        <f>B23/1000*D23</f>
        <v>0</v>
      </c>
      <c r="F23" s="7">
        <f t="shared" si="1"/>
        <v>1.82</v>
      </c>
      <c r="G23" s="225" t="s">
        <v>160</v>
      </c>
      <c r="H23" s="196">
        <f t="shared" si="2"/>
        <v>0</v>
      </c>
      <c r="I23" s="196">
        <f t="shared" si="3"/>
        <v>6.3</v>
      </c>
      <c r="J23" s="222">
        <v>400</v>
      </c>
      <c r="K23" s="198">
        <f>H23/1000*J23</f>
        <v>0</v>
      </c>
      <c r="L23" s="198">
        <f t="shared" si="5"/>
        <v>2.52</v>
      </c>
    </row>
    <row r="24" spans="1:12" ht="15" customHeight="1">
      <c r="A24" s="66" t="s">
        <v>88</v>
      </c>
      <c r="B24" s="89" t="s">
        <v>46</v>
      </c>
      <c r="C24" s="89" t="s">
        <v>47</v>
      </c>
      <c r="D24" s="93">
        <v>6</v>
      </c>
      <c r="E24" s="94">
        <v>3</v>
      </c>
      <c r="F24" s="94">
        <v>3.6</v>
      </c>
      <c r="G24" s="225" t="s">
        <v>88</v>
      </c>
      <c r="H24" s="132" t="s">
        <v>46</v>
      </c>
      <c r="I24" s="132" t="s">
        <v>47</v>
      </c>
      <c r="J24" s="223">
        <v>6.55</v>
      </c>
      <c r="K24" s="198">
        <v>2.85</v>
      </c>
      <c r="L24" s="198">
        <v>3.42</v>
      </c>
    </row>
    <row r="25" spans="1:12" ht="15" customHeight="1">
      <c r="A25" s="175" t="s">
        <v>4</v>
      </c>
      <c r="B25" s="173">
        <v>172.5</v>
      </c>
      <c r="C25" s="173">
        <v>188</v>
      </c>
      <c r="D25" s="92">
        <v>28</v>
      </c>
      <c r="E25" s="7">
        <f>B25/1000*D25</f>
        <v>4.83</v>
      </c>
      <c r="F25" s="7">
        <f>C25/1000*D25</f>
        <v>5.264</v>
      </c>
      <c r="G25" s="225" t="s">
        <v>4</v>
      </c>
      <c r="H25" s="196">
        <f>B25*90%</f>
        <v>155.25</v>
      </c>
      <c r="I25" s="196">
        <f>C25*90%</f>
        <v>169.20000000000002</v>
      </c>
      <c r="J25" s="222">
        <v>30.05</v>
      </c>
      <c r="K25" s="198">
        <f>H25/1000*J25</f>
        <v>4.6652625</v>
      </c>
      <c r="L25" s="198">
        <f>I25/1000*J25</f>
        <v>5.084460000000001</v>
      </c>
    </row>
    <row r="26" spans="1:12" ht="15" customHeight="1">
      <c r="A26" s="66" t="s">
        <v>22</v>
      </c>
      <c r="B26" s="89">
        <v>256</v>
      </c>
      <c r="C26" s="89">
        <v>325</v>
      </c>
      <c r="D26" s="92">
        <v>150</v>
      </c>
      <c r="E26" s="7">
        <f aca="true" t="shared" si="6" ref="E26:E45">B26/1000*D26</f>
        <v>38.4</v>
      </c>
      <c r="F26" s="7">
        <f aca="true" t="shared" si="7" ref="F26:F45">C26/1000*D26</f>
        <v>48.75</v>
      </c>
      <c r="G26" s="225" t="s">
        <v>22</v>
      </c>
      <c r="H26" s="196">
        <f aca="true" t="shared" si="8" ref="H26:H45">B26*90%</f>
        <v>230.4</v>
      </c>
      <c r="I26" s="196">
        <f aca="true" t="shared" si="9" ref="I26:I45">C26*90%</f>
        <v>292.5</v>
      </c>
      <c r="J26" s="222">
        <v>160</v>
      </c>
      <c r="K26" s="198">
        <f aca="true" t="shared" si="10" ref="K26:K45">H26/1000*J26</f>
        <v>36.864</v>
      </c>
      <c r="L26" s="198">
        <f aca="true" t="shared" si="11" ref="L26:L45">I26/1000*J26</f>
        <v>46.8</v>
      </c>
    </row>
    <row r="27" spans="1:12" ht="15" customHeight="1">
      <c r="A27" s="66" t="s">
        <v>5</v>
      </c>
      <c r="B27" s="89">
        <v>108</v>
      </c>
      <c r="C27" s="89">
        <v>114</v>
      </c>
      <c r="D27" s="92">
        <v>150</v>
      </c>
      <c r="E27" s="7">
        <f t="shared" si="6"/>
        <v>16.2</v>
      </c>
      <c r="F27" s="7">
        <f t="shared" si="7"/>
        <v>17.1</v>
      </c>
      <c r="G27" s="225" t="s">
        <v>5</v>
      </c>
      <c r="H27" s="196">
        <f>B27*90%</f>
        <v>97.2</v>
      </c>
      <c r="I27" s="196">
        <f t="shared" si="9"/>
        <v>102.60000000000001</v>
      </c>
      <c r="J27" s="222">
        <v>140</v>
      </c>
      <c r="K27" s="198">
        <f t="shared" si="10"/>
        <v>13.608</v>
      </c>
      <c r="L27" s="198">
        <f t="shared" si="11"/>
        <v>14.364</v>
      </c>
    </row>
    <row r="28" spans="1:12" ht="15" customHeight="1">
      <c r="A28" s="66" t="s">
        <v>23</v>
      </c>
      <c r="B28" s="89">
        <v>9</v>
      </c>
      <c r="C28" s="89">
        <v>11</v>
      </c>
      <c r="D28" s="92">
        <v>159</v>
      </c>
      <c r="E28" s="7">
        <f t="shared" si="6"/>
        <v>1.4309999999999998</v>
      </c>
      <c r="F28" s="7">
        <f t="shared" si="7"/>
        <v>1.7489999999999999</v>
      </c>
      <c r="G28" s="225" t="s">
        <v>23</v>
      </c>
      <c r="H28" s="196">
        <f t="shared" si="8"/>
        <v>8.1</v>
      </c>
      <c r="I28" s="196">
        <f t="shared" si="9"/>
        <v>9.9</v>
      </c>
      <c r="J28" s="222">
        <v>190</v>
      </c>
      <c r="K28" s="198">
        <f t="shared" si="10"/>
        <v>1.539</v>
      </c>
      <c r="L28" s="198">
        <f t="shared" si="11"/>
        <v>1.8810000000000002</v>
      </c>
    </row>
    <row r="29" spans="1:12" ht="25.5" customHeight="1">
      <c r="A29" s="66" t="s">
        <v>24</v>
      </c>
      <c r="B29" s="89">
        <v>100</v>
      </c>
      <c r="C29" s="89">
        <v>100</v>
      </c>
      <c r="D29" s="92">
        <v>55</v>
      </c>
      <c r="E29" s="7">
        <f t="shared" si="6"/>
        <v>5.5</v>
      </c>
      <c r="F29" s="7">
        <f t="shared" si="7"/>
        <v>5.5</v>
      </c>
      <c r="G29" s="225" t="s">
        <v>161</v>
      </c>
      <c r="H29" s="196">
        <f t="shared" si="8"/>
        <v>90</v>
      </c>
      <c r="I29" s="196">
        <f t="shared" si="9"/>
        <v>90</v>
      </c>
      <c r="J29" s="222">
        <v>75</v>
      </c>
      <c r="K29" s="198">
        <f t="shared" si="10"/>
        <v>6.75</v>
      </c>
      <c r="L29" s="198">
        <f t="shared" si="11"/>
        <v>6.75</v>
      </c>
    </row>
    <row r="30" spans="1:12" ht="57.75" customHeight="1">
      <c r="A30" s="66" t="s">
        <v>25</v>
      </c>
      <c r="B30" s="91">
        <v>0</v>
      </c>
      <c r="C30" s="89">
        <v>50</v>
      </c>
      <c r="D30" s="92">
        <v>28</v>
      </c>
      <c r="E30" s="7">
        <f t="shared" si="6"/>
        <v>0</v>
      </c>
      <c r="F30" s="7">
        <f t="shared" si="7"/>
        <v>1.4000000000000001</v>
      </c>
      <c r="G30" s="226" t="s">
        <v>182</v>
      </c>
      <c r="H30" s="196">
        <f t="shared" si="8"/>
        <v>0</v>
      </c>
      <c r="I30" s="196">
        <f t="shared" si="9"/>
        <v>45</v>
      </c>
      <c r="J30" s="222">
        <v>70</v>
      </c>
      <c r="K30" s="198">
        <f t="shared" si="10"/>
        <v>0</v>
      </c>
      <c r="L30" s="198">
        <f t="shared" si="11"/>
        <v>3.15</v>
      </c>
    </row>
    <row r="31" spans="1:12" ht="15" customHeight="1">
      <c r="A31" s="65" t="s">
        <v>26</v>
      </c>
      <c r="B31" s="89">
        <v>40</v>
      </c>
      <c r="C31" s="89">
        <v>50</v>
      </c>
      <c r="D31" s="92">
        <v>42</v>
      </c>
      <c r="E31" s="7">
        <f t="shared" si="6"/>
        <v>1.68</v>
      </c>
      <c r="F31" s="7">
        <f t="shared" si="7"/>
        <v>2.1</v>
      </c>
      <c r="G31" s="224" t="s">
        <v>26</v>
      </c>
      <c r="H31" s="196">
        <f t="shared" si="8"/>
        <v>36</v>
      </c>
      <c r="I31" s="196">
        <f t="shared" si="9"/>
        <v>45</v>
      </c>
      <c r="J31" s="222">
        <v>45.09</v>
      </c>
      <c r="K31" s="198">
        <f t="shared" si="10"/>
        <v>1.62324</v>
      </c>
      <c r="L31" s="198">
        <f t="shared" si="11"/>
        <v>2.0290500000000002</v>
      </c>
    </row>
    <row r="32" spans="1:12" ht="15" customHeight="1">
      <c r="A32" s="65" t="s">
        <v>27</v>
      </c>
      <c r="B32" s="89">
        <v>60</v>
      </c>
      <c r="C32" s="89">
        <v>80</v>
      </c>
      <c r="D32" s="92">
        <v>45</v>
      </c>
      <c r="E32" s="7">
        <f t="shared" si="6"/>
        <v>2.6999999999999997</v>
      </c>
      <c r="F32" s="7">
        <f t="shared" si="7"/>
        <v>3.6</v>
      </c>
      <c r="G32" s="224" t="s">
        <v>27</v>
      </c>
      <c r="H32" s="196">
        <f t="shared" si="8"/>
        <v>54</v>
      </c>
      <c r="I32" s="196">
        <f t="shared" si="9"/>
        <v>72</v>
      </c>
      <c r="J32" s="222">
        <v>46.42</v>
      </c>
      <c r="K32" s="198">
        <f t="shared" si="10"/>
        <v>2.5066800000000002</v>
      </c>
      <c r="L32" s="198">
        <f t="shared" si="11"/>
        <v>3.34224</v>
      </c>
    </row>
    <row r="33" spans="1:12" ht="15" customHeight="1">
      <c r="A33" s="65" t="s">
        <v>28</v>
      </c>
      <c r="B33" s="89">
        <v>30</v>
      </c>
      <c r="C33" s="89">
        <v>43</v>
      </c>
      <c r="D33" s="92">
        <v>60</v>
      </c>
      <c r="E33" s="7">
        <f t="shared" si="6"/>
        <v>1.7999999999999998</v>
      </c>
      <c r="F33" s="7">
        <f t="shared" si="7"/>
        <v>2.5799999999999996</v>
      </c>
      <c r="G33" s="224" t="s">
        <v>28</v>
      </c>
      <c r="H33" s="196">
        <f t="shared" si="8"/>
        <v>27</v>
      </c>
      <c r="I33" s="196">
        <f t="shared" si="9"/>
        <v>38.7</v>
      </c>
      <c r="J33" s="222">
        <v>80</v>
      </c>
      <c r="K33" s="198">
        <f t="shared" si="10"/>
        <v>2.16</v>
      </c>
      <c r="L33" s="198">
        <f t="shared" si="11"/>
        <v>3.0960000000000005</v>
      </c>
    </row>
    <row r="34" spans="1:12" ht="15" customHeight="1">
      <c r="A34" s="65" t="s">
        <v>3</v>
      </c>
      <c r="B34" s="89">
        <v>8</v>
      </c>
      <c r="C34" s="89">
        <v>12</v>
      </c>
      <c r="D34" s="92">
        <v>44</v>
      </c>
      <c r="E34" s="7">
        <f t="shared" si="6"/>
        <v>0.352</v>
      </c>
      <c r="F34" s="7">
        <f t="shared" si="7"/>
        <v>0.528</v>
      </c>
      <c r="G34" s="224" t="s">
        <v>3</v>
      </c>
      <c r="H34" s="196">
        <f t="shared" si="8"/>
        <v>7.2</v>
      </c>
      <c r="I34" s="196">
        <f t="shared" si="9"/>
        <v>10.8</v>
      </c>
      <c r="J34" s="222">
        <v>43.67</v>
      </c>
      <c r="K34" s="198">
        <f t="shared" si="10"/>
        <v>0.314424</v>
      </c>
      <c r="L34" s="198">
        <f t="shared" si="11"/>
        <v>0.47163600000000006</v>
      </c>
    </row>
    <row r="35" spans="1:12" ht="15" customHeight="1">
      <c r="A35" s="65" t="s">
        <v>29</v>
      </c>
      <c r="B35" s="89">
        <v>25</v>
      </c>
      <c r="C35" s="89">
        <v>29</v>
      </c>
      <c r="D35" s="92">
        <v>32</v>
      </c>
      <c r="E35" s="7">
        <f t="shared" si="6"/>
        <v>0.8</v>
      </c>
      <c r="F35" s="7">
        <f t="shared" si="7"/>
        <v>0.928</v>
      </c>
      <c r="G35" s="224" t="s">
        <v>29</v>
      </c>
      <c r="H35" s="196">
        <f t="shared" si="8"/>
        <v>22.5</v>
      </c>
      <c r="I35" s="196">
        <f t="shared" si="9"/>
        <v>26.1</v>
      </c>
      <c r="J35" s="222">
        <v>38.66</v>
      </c>
      <c r="K35" s="198">
        <f t="shared" si="10"/>
        <v>0.8698499999999999</v>
      </c>
      <c r="L35" s="198">
        <f t="shared" si="11"/>
        <v>1.009026</v>
      </c>
    </row>
    <row r="36" spans="1:12" ht="15" customHeight="1">
      <c r="A36" s="65" t="s">
        <v>113</v>
      </c>
      <c r="B36" s="89">
        <v>18</v>
      </c>
      <c r="C36" s="89">
        <v>21</v>
      </c>
      <c r="D36" s="92">
        <v>378</v>
      </c>
      <c r="E36" s="7">
        <f t="shared" si="6"/>
        <v>6.803999999999999</v>
      </c>
      <c r="F36" s="7">
        <f t="shared" si="7"/>
        <v>7.938000000000001</v>
      </c>
      <c r="G36" s="224" t="s">
        <v>113</v>
      </c>
      <c r="H36" s="196">
        <f t="shared" si="8"/>
        <v>16.2</v>
      </c>
      <c r="I36" s="196">
        <f t="shared" si="9"/>
        <v>18.900000000000002</v>
      </c>
      <c r="J36" s="229">
        <f>675-77</f>
        <v>598</v>
      </c>
      <c r="K36" s="198">
        <f t="shared" si="10"/>
        <v>9.6876</v>
      </c>
      <c r="L36" s="198">
        <f t="shared" si="11"/>
        <v>11.302200000000003</v>
      </c>
    </row>
    <row r="37" spans="1:12" ht="15" customHeight="1">
      <c r="A37" s="65" t="s">
        <v>31</v>
      </c>
      <c r="B37" s="89">
        <v>9</v>
      </c>
      <c r="C37" s="89">
        <v>11</v>
      </c>
      <c r="D37" s="92">
        <v>110</v>
      </c>
      <c r="E37" s="7">
        <f t="shared" si="6"/>
        <v>0.9899999999999999</v>
      </c>
      <c r="F37" s="7">
        <f t="shared" si="7"/>
        <v>1.21</v>
      </c>
      <c r="G37" s="224" t="s">
        <v>31</v>
      </c>
      <c r="H37" s="196">
        <f t="shared" si="8"/>
        <v>8.1</v>
      </c>
      <c r="I37" s="196">
        <f t="shared" si="9"/>
        <v>9.9</v>
      </c>
      <c r="J37" s="222">
        <v>110</v>
      </c>
      <c r="K37" s="198">
        <f t="shared" si="10"/>
        <v>0.8909999999999999</v>
      </c>
      <c r="L37" s="198">
        <f t="shared" si="11"/>
        <v>1.0890000000000002</v>
      </c>
    </row>
    <row r="38" spans="1:12" ht="15" customHeight="1">
      <c r="A38" s="65" t="s">
        <v>32</v>
      </c>
      <c r="B38" s="89">
        <v>7</v>
      </c>
      <c r="C38" s="89">
        <v>20</v>
      </c>
      <c r="D38" s="92">
        <v>180</v>
      </c>
      <c r="E38" s="7">
        <f t="shared" si="6"/>
        <v>1.26</v>
      </c>
      <c r="F38" s="7">
        <f t="shared" si="7"/>
        <v>3.6</v>
      </c>
      <c r="G38" s="224" t="s">
        <v>32</v>
      </c>
      <c r="H38" s="196">
        <f t="shared" si="8"/>
        <v>6.3</v>
      </c>
      <c r="I38" s="196">
        <f t="shared" si="9"/>
        <v>18</v>
      </c>
      <c r="J38" s="222">
        <v>290</v>
      </c>
      <c r="K38" s="198">
        <f t="shared" si="10"/>
        <v>1.827</v>
      </c>
      <c r="L38" s="198">
        <f t="shared" si="11"/>
        <v>5.22</v>
      </c>
    </row>
    <row r="39" spans="1:12" ht="15" customHeight="1">
      <c r="A39" s="65" t="s">
        <v>33</v>
      </c>
      <c r="B39" s="89">
        <v>0.5</v>
      </c>
      <c r="C39" s="89">
        <v>0.6</v>
      </c>
      <c r="D39" s="92">
        <v>360</v>
      </c>
      <c r="E39" s="7">
        <f t="shared" si="6"/>
        <v>0.18</v>
      </c>
      <c r="F39" s="7">
        <f t="shared" si="7"/>
        <v>0.21599999999999997</v>
      </c>
      <c r="G39" s="224" t="s">
        <v>33</v>
      </c>
      <c r="H39" s="197">
        <f t="shared" si="8"/>
        <v>0.45</v>
      </c>
      <c r="I39" s="197">
        <f t="shared" si="9"/>
        <v>0.54</v>
      </c>
      <c r="J39" s="222">
        <v>660</v>
      </c>
      <c r="K39" s="198">
        <f t="shared" si="10"/>
        <v>0.297</v>
      </c>
      <c r="L39" s="198">
        <f t="shared" si="11"/>
        <v>0.3564</v>
      </c>
    </row>
    <row r="40" spans="1:12" ht="15" customHeight="1">
      <c r="A40" s="65" t="s">
        <v>34</v>
      </c>
      <c r="B40" s="89">
        <v>0.5</v>
      </c>
      <c r="C40" s="89">
        <v>0.6</v>
      </c>
      <c r="D40" s="92">
        <v>350</v>
      </c>
      <c r="E40" s="7">
        <f t="shared" si="6"/>
        <v>0.17500000000000002</v>
      </c>
      <c r="F40" s="7">
        <f t="shared" si="7"/>
        <v>0.21</v>
      </c>
      <c r="G40" s="224" t="s">
        <v>34</v>
      </c>
      <c r="H40" s="197">
        <f t="shared" si="8"/>
        <v>0.45</v>
      </c>
      <c r="I40" s="197">
        <f t="shared" si="9"/>
        <v>0.54</v>
      </c>
      <c r="J40" s="222">
        <v>850</v>
      </c>
      <c r="K40" s="198">
        <f t="shared" si="10"/>
        <v>0.3825</v>
      </c>
      <c r="L40" s="198">
        <f t="shared" si="11"/>
        <v>0.459</v>
      </c>
    </row>
    <row r="41" spans="1:12" ht="15.75" customHeight="1">
      <c r="A41" s="65" t="s">
        <v>89</v>
      </c>
      <c r="B41" s="90">
        <v>1</v>
      </c>
      <c r="C41" s="89">
        <v>1.2</v>
      </c>
      <c r="D41" s="92">
        <v>450</v>
      </c>
      <c r="E41" s="7">
        <f t="shared" si="6"/>
        <v>0.45</v>
      </c>
      <c r="F41" s="7">
        <f t="shared" si="7"/>
        <v>0.5399999999999999</v>
      </c>
      <c r="G41" s="224" t="s">
        <v>89</v>
      </c>
      <c r="H41" s="197">
        <f t="shared" si="8"/>
        <v>0.9</v>
      </c>
      <c r="I41" s="197">
        <f t="shared" si="9"/>
        <v>1.08</v>
      </c>
      <c r="J41" s="222">
        <v>450</v>
      </c>
      <c r="K41" s="198">
        <f t="shared" si="10"/>
        <v>0.40499999999999997</v>
      </c>
      <c r="L41" s="198">
        <f t="shared" si="11"/>
        <v>0.486</v>
      </c>
    </row>
    <row r="42" spans="1:12" ht="15" customHeight="1">
      <c r="A42" s="65" t="s">
        <v>35</v>
      </c>
      <c r="B42" s="89">
        <v>37</v>
      </c>
      <c r="C42" s="89">
        <v>47</v>
      </c>
      <c r="D42" s="92">
        <v>62</v>
      </c>
      <c r="E42" s="7">
        <f t="shared" si="6"/>
        <v>2.294</v>
      </c>
      <c r="F42" s="7">
        <f t="shared" si="7"/>
        <v>2.914</v>
      </c>
      <c r="G42" s="224" t="s">
        <v>35</v>
      </c>
      <c r="H42" s="196">
        <f t="shared" si="8"/>
        <v>33.300000000000004</v>
      </c>
      <c r="I42" s="196">
        <f t="shared" si="9"/>
        <v>42.300000000000004</v>
      </c>
      <c r="J42" s="222">
        <v>53.38</v>
      </c>
      <c r="K42" s="198">
        <f t="shared" si="10"/>
        <v>1.7775540000000003</v>
      </c>
      <c r="L42" s="198">
        <f t="shared" si="11"/>
        <v>2.2579740000000004</v>
      </c>
    </row>
    <row r="43" spans="1:12" ht="15" customHeight="1">
      <c r="A43" s="65" t="s">
        <v>9</v>
      </c>
      <c r="B43" s="89">
        <v>0.4</v>
      </c>
      <c r="C43" s="89">
        <v>0.5</v>
      </c>
      <c r="D43" s="92">
        <v>1100</v>
      </c>
      <c r="E43" s="7">
        <f t="shared" si="6"/>
        <v>0.44</v>
      </c>
      <c r="F43" s="7">
        <f t="shared" si="7"/>
        <v>0.55</v>
      </c>
      <c r="G43" s="224" t="s">
        <v>9</v>
      </c>
      <c r="H43" s="197">
        <f t="shared" si="8"/>
        <v>0.36000000000000004</v>
      </c>
      <c r="I43" s="197">
        <f t="shared" si="9"/>
        <v>0.45</v>
      </c>
      <c r="J43" s="222">
        <v>1600</v>
      </c>
      <c r="K43" s="198">
        <f t="shared" si="10"/>
        <v>0.5760000000000001</v>
      </c>
      <c r="L43" s="198">
        <f t="shared" si="11"/>
        <v>0.72</v>
      </c>
    </row>
    <row r="44" spans="1:12" ht="15" customHeight="1">
      <c r="A44" s="65" t="s">
        <v>30</v>
      </c>
      <c r="B44" s="89">
        <v>2</v>
      </c>
      <c r="C44" s="89">
        <v>3</v>
      </c>
      <c r="D44" s="92">
        <v>180</v>
      </c>
      <c r="E44" s="7">
        <f t="shared" si="6"/>
        <v>0.36</v>
      </c>
      <c r="F44" s="7">
        <f t="shared" si="7"/>
        <v>0.54</v>
      </c>
      <c r="G44" s="224" t="s">
        <v>30</v>
      </c>
      <c r="H44" s="196">
        <f t="shared" si="8"/>
        <v>1.8</v>
      </c>
      <c r="I44" s="196">
        <f t="shared" si="9"/>
        <v>2.7</v>
      </c>
      <c r="J44" s="222">
        <v>190</v>
      </c>
      <c r="K44" s="198">
        <f t="shared" si="10"/>
        <v>0.34199999999999997</v>
      </c>
      <c r="L44" s="198">
        <f t="shared" si="11"/>
        <v>0.513</v>
      </c>
    </row>
    <row r="45" spans="1:12" ht="15" customHeight="1">
      <c r="A45" s="67" t="s">
        <v>36</v>
      </c>
      <c r="B45" s="89">
        <v>4</v>
      </c>
      <c r="C45" s="89">
        <v>6</v>
      </c>
      <c r="D45" s="92">
        <v>16</v>
      </c>
      <c r="E45" s="7">
        <f t="shared" si="6"/>
        <v>0.064</v>
      </c>
      <c r="F45" s="7">
        <f t="shared" si="7"/>
        <v>0.096</v>
      </c>
      <c r="G45" s="227" t="s">
        <v>36</v>
      </c>
      <c r="H45" s="196">
        <f t="shared" si="8"/>
        <v>3.6</v>
      </c>
      <c r="I45" s="196">
        <f t="shared" si="9"/>
        <v>5.4</v>
      </c>
      <c r="J45" s="222">
        <v>19.76</v>
      </c>
      <c r="K45" s="198">
        <f t="shared" si="10"/>
        <v>0.071136</v>
      </c>
      <c r="L45" s="198">
        <f t="shared" si="11"/>
        <v>0.10670400000000001</v>
      </c>
    </row>
    <row r="46" spans="1:12" ht="19.5" customHeight="1">
      <c r="A46" s="16" t="s">
        <v>37</v>
      </c>
      <c r="B46" s="12"/>
      <c r="C46" s="12"/>
      <c r="D46" s="12"/>
      <c r="E46" s="17">
        <f>SUM(E16:E45)</f>
        <v>166.75600000000003</v>
      </c>
      <c r="F46" s="17">
        <f>SUM(F16:F45)</f>
        <v>204.49359999999996</v>
      </c>
      <c r="G46" s="135" t="s">
        <v>37</v>
      </c>
      <c r="H46" s="136"/>
      <c r="I46" s="136"/>
      <c r="J46" s="136"/>
      <c r="K46" s="137">
        <f>SUM(K16:K45)</f>
        <v>170.2377465</v>
      </c>
      <c r="L46" s="137">
        <f>SUM(L16:L45)</f>
        <v>211.61979000000002</v>
      </c>
    </row>
    <row r="47" spans="1:12" ht="20.25" customHeight="1">
      <c r="A47" s="38" t="s">
        <v>38</v>
      </c>
      <c r="B47" s="39"/>
      <c r="C47" s="40"/>
      <c r="D47" s="41">
        <f>ROUND((F46+E46)/2,2)</f>
        <v>185.62</v>
      </c>
      <c r="E47" s="39"/>
      <c r="F47" s="40"/>
      <c r="G47" s="38" t="s">
        <v>38</v>
      </c>
      <c r="H47" s="39"/>
      <c r="I47" s="40"/>
      <c r="J47" s="230">
        <f>ROUND((L46+K46)/2,2)</f>
        <v>190.93</v>
      </c>
      <c r="K47" s="39"/>
      <c r="L47" s="40"/>
    </row>
    <row r="48" spans="5:12" ht="12.75">
      <c r="E48" s="42"/>
      <c r="F48" s="42"/>
      <c r="K48" s="42"/>
      <c r="L48" s="42"/>
    </row>
    <row r="49" spans="3:12" ht="12.75">
      <c r="C49" s="15" t="s">
        <v>111</v>
      </c>
      <c r="D49" s="99" t="e">
        <f>D47/#REF!%-100</f>
        <v>#REF!</v>
      </c>
      <c r="F49" s="43"/>
      <c r="I49" s="15"/>
      <c r="J49" s="177"/>
      <c r="L49" s="43"/>
    </row>
    <row r="50" spans="3:10" ht="12.75">
      <c r="C50" s="15" t="s">
        <v>115</v>
      </c>
      <c r="D50" s="96" t="e">
        <f>D47-#REF!</f>
        <v>#REF!</v>
      </c>
      <c r="I50" s="15"/>
      <c r="J50" s="124"/>
    </row>
  </sheetData>
  <sheetProtection/>
  <mergeCells count="22">
    <mergeCell ref="G8:L8"/>
    <mergeCell ref="G9:L9"/>
    <mergeCell ref="G10:L10"/>
    <mergeCell ref="G12:L12"/>
    <mergeCell ref="G14:G15"/>
    <mergeCell ref="H14:I14"/>
    <mergeCell ref="J14:J15"/>
    <mergeCell ref="K14:L14"/>
    <mergeCell ref="A8:F8"/>
    <mergeCell ref="A10:F10"/>
    <mergeCell ref="A12:F12"/>
    <mergeCell ref="A14:A15"/>
    <mergeCell ref="B14:C14"/>
    <mergeCell ref="D14:D15"/>
    <mergeCell ref="E14:F14"/>
    <mergeCell ref="A9:F9"/>
    <mergeCell ref="J2:L2"/>
    <mergeCell ref="J3:L3"/>
    <mergeCell ref="J5:L5"/>
    <mergeCell ref="J6:L6"/>
    <mergeCell ref="J4:L4"/>
    <mergeCell ref="K1:L1"/>
  </mergeCells>
  <printOptions/>
  <pageMargins left="0.7874015748031497" right="0.11811023622047245" top="0.4724409448818898" bottom="0.31496062992125984" header="0.31496062992125984" footer="0.31496062992125984"/>
  <pageSetup fitToHeight="1" fitToWidth="1" horizontalDpi="600" verticalDpi="600" orientation="portrait" paperSize="9" scale="94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61"/>
  <sheetViews>
    <sheetView view="pageBreakPreview" zoomScaleNormal="90" zoomScaleSheetLayoutView="100" workbookViewId="0" topLeftCell="H16">
      <selection activeCell="H37" sqref="H37"/>
    </sheetView>
  </sheetViews>
  <sheetFormatPr defaultColWidth="9.140625" defaultRowHeight="12.75"/>
  <cols>
    <col min="1" max="1" width="15.7109375" style="9" hidden="1" customWidth="1"/>
    <col min="2" max="3" width="15.7109375" style="15" hidden="1" customWidth="1"/>
    <col min="4" max="4" width="15.421875" style="55" hidden="1" customWidth="1"/>
    <col min="5" max="6" width="15.57421875" style="9" hidden="1" customWidth="1"/>
    <col min="7" max="7" width="11.421875" style="9" hidden="1" customWidth="1"/>
    <col min="8" max="8" width="33.57421875" style="9" customWidth="1"/>
    <col min="9" max="9" width="12.140625" style="15" customWidth="1"/>
    <col min="10" max="10" width="14.8515625" style="15" customWidth="1"/>
    <col min="11" max="11" width="11.7109375" style="55" customWidth="1"/>
    <col min="12" max="12" width="15.8515625" style="9" customWidth="1"/>
    <col min="13" max="13" width="19.28125" style="9" customWidth="1"/>
    <col min="14" max="16384" width="9.140625" style="9" customWidth="1"/>
  </cols>
  <sheetData>
    <row r="1" spans="6:13" ht="12.75">
      <c r="F1" s="15"/>
      <c r="H1" s="13"/>
      <c r="I1" s="14"/>
      <c r="J1" s="14"/>
      <c r="K1" s="14"/>
      <c r="L1" s="386" t="s">
        <v>157</v>
      </c>
      <c r="M1" s="386"/>
    </row>
    <row r="2" spans="6:14" ht="12.75">
      <c r="F2" s="15"/>
      <c r="H2" s="158"/>
      <c r="I2" s="9"/>
      <c r="J2" s="9"/>
      <c r="K2" s="372" t="s">
        <v>146</v>
      </c>
      <c r="L2" s="372"/>
      <c r="M2" s="372"/>
      <c r="N2" s="159"/>
    </row>
    <row r="3" spans="6:14" ht="12.75">
      <c r="F3" s="15"/>
      <c r="I3" s="9"/>
      <c r="J3" s="9"/>
      <c r="K3" s="373" t="s">
        <v>147</v>
      </c>
      <c r="L3" s="373"/>
      <c r="M3" s="373"/>
      <c r="N3" s="154"/>
    </row>
    <row r="4" spans="6:14" ht="12.75">
      <c r="F4" s="15"/>
      <c r="I4" s="9"/>
      <c r="J4" s="9"/>
      <c r="K4" s="373" t="s">
        <v>148</v>
      </c>
      <c r="L4" s="373"/>
      <c r="M4" s="373"/>
      <c r="N4" s="154"/>
    </row>
    <row r="5" spans="6:14" ht="17.25" customHeight="1">
      <c r="F5" s="15"/>
      <c r="I5" s="9"/>
      <c r="J5" s="9"/>
      <c r="K5" s="373" t="s">
        <v>183</v>
      </c>
      <c r="L5" s="373"/>
      <c r="M5" s="373"/>
      <c r="N5" s="154"/>
    </row>
    <row r="6" spans="6:13" ht="12.75">
      <c r="F6" s="15"/>
      <c r="H6" s="13"/>
      <c r="I6" s="14"/>
      <c r="J6" s="14"/>
      <c r="K6" s="14"/>
      <c r="L6" s="13"/>
      <c r="M6" s="14"/>
    </row>
    <row r="7" spans="1:13" ht="14.25">
      <c r="A7" s="408" t="s">
        <v>13</v>
      </c>
      <c r="B7" s="408"/>
      <c r="C7" s="408"/>
      <c r="D7" s="408"/>
      <c r="E7" s="408"/>
      <c r="F7" s="408"/>
      <c r="H7" s="387" t="s">
        <v>136</v>
      </c>
      <c r="I7" s="387"/>
      <c r="J7" s="387"/>
      <c r="K7" s="387"/>
      <c r="L7" s="387"/>
      <c r="M7" s="387"/>
    </row>
    <row r="8" spans="1:13" ht="19.5" customHeight="1">
      <c r="A8" s="409" t="s">
        <v>117</v>
      </c>
      <c r="B8" s="409"/>
      <c r="C8" s="409"/>
      <c r="D8" s="409"/>
      <c r="E8" s="409"/>
      <c r="F8" s="409"/>
      <c r="H8" s="387" t="s">
        <v>199</v>
      </c>
      <c r="I8" s="387"/>
      <c r="J8" s="387"/>
      <c r="K8" s="387"/>
      <c r="L8" s="387"/>
      <c r="M8" s="387"/>
    </row>
    <row r="9" spans="1:13" ht="19.5" customHeight="1">
      <c r="A9" s="409" t="s">
        <v>48</v>
      </c>
      <c r="B9" s="409"/>
      <c r="C9" s="409"/>
      <c r="D9" s="409"/>
      <c r="E9" s="409"/>
      <c r="F9" s="409"/>
      <c r="H9" s="387" t="s">
        <v>48</v>
      </c>
      <c r="I9" s="387"/>
      <c r="J9" s="387"/>
      <c r="K9" s="387"/>
      <c r="L9" s="387"/>
      <c r="M9" s="387"/>
    </row>
    <row r="10" spans="1:13" ht="15">
      <c r="A10" s="410" t="s">
        <v>39</v>
      </c>
      <c r="B10" s="410"/>
      <c r="C10" s="410"/>
      <c r="D10" s="410"/>
      <c r="E10" s="410"/>
      <c r="F10" s="410"/>
      <c r="H10" s="398" t="s">
        <v>246</v>
      </c>
      <c r="I10" s="398"/>
      <c r="J10" s="398"/>
      <c r="K10" s="398"/>
      <c r="L10" s="398"/>
      <c r="M10" s="398"/>
    </row>
    <row r="11" spans="1:13" ht="12.75">
      <c r="A11" s="15"/>
      <c r="E11" s="15"/>
      <c r="F11" s="15"/>
      <c r="H11" s="14"/>
      <c r="I11" s="14"/>
      <c r="J11" s="14"/>
      <c r="K11" s="14"/>
      <c r="L11" s="14"/>
      <c r="M11" s="14"/>
    </row>
    <row r="12" spans="1:13" ht="13.5" thickBot="1">
      <c r="A12" s="15"/>
      <c r="E12" s="15"/>
      <c r="H12" s="14"/>
      <c r="I12" s="14"/>
      <c r="J12" s="14"/>
      <c r="K12" s="14"/>
      <c r="L12" s="14"/>
      <c r="M12" s="13"/>
    </row>
    <row r="13" spans="1:13" ht="47.25" customHeight="1">
      <c r="A13" s="411" t="s">
        <v>49</v>
      </c>
      <c r="B13" s="415" t="s">
        <v>100</v>
      </c>
      <c r="C13" s="416"/>
      <c r="D13" s="413" t="s">
        <v>50</v>
      </c>
      <c r="E13" s="406" t="s">
        <v>17</v>
      </c>
      <c r="F13" s="407"/>
      <c r="H13" s="417" t="s">
        <v>49</v>
      </c>
      <c r="I13" s="383" t="s">
        <v>40</v>
      </c>
      <c r="J13" s="383"/>
      <c r="K13" s="384" t="s">
        <v>196</v>
      </c>
      <c r="L13" s="393" t="s">
        <v>17</v>
      </c>
      <c r="M13" s="394"/>
    </row>
    <row r="14" spans="1:13" ht="18" customHeight="1" thickBot="1">
      <c r="A14" s="412"/>
      <c r="B14" s="46" t="s">
        <v>51</v>
      </c>
      <c r="C14" s="47" t="s">
        <v>52</v>
      </c>
      <c r="D14" s="414"/>
      <c r="E14" s="46" t="s">
        <v>51</v>
      </c>
      <c r="F14" s="46" t="s">
        <v>52</v>
      </c>
      <c r="H14" s="418"/>
      <c r="I14" s="132" t="s">
        <v>229</v>
      </c>
      <c r="J14" s="132" t="s">
        <v>230</v>
      </c>
      <c r="K14" s="385"/>
      <c r="L14" s="132" t="s">
        <v>229</v>
      </c>
      <c r="M14" s="132" t="s">
        <v>230</v>
      </c>
    </row>
    <row r="15" spans="1:13" ht="15" customHeight="1">
      <c r="A15" s="62" t="s">
        <v>53</v>
      </c>
      <c r="B15" s="92">
        <v>80</v>
      </c>
      <c r="C15" s="92">
        <v>120</v>
      </c>
      <c r="D15" s="100">
        <v>42</v>
      </c>
      <c r="E15" s="7">
        <f>B15*D15/1000</f>
        <v>3.36</v>
      </c>
      <c r="F15" s="7">
        <f>C15*D15/1000</f>
        <v>5.04</v>
      </c>
      <c r="H15" s="288" t="s">
        <v>53</v>
      </c>
      <c r="I15" s="307">
        <f>'интернат 2022 цены по контр'!B13*60%</f>
        <v>48</v>
      </c>
      <c r="J15" s="307">
        <f>'интернат 2022 цены по контр'!C13*60%</f>
        <v>72</v>
      </c>
      <c r="K15" s="285">
        <v>45</v>
      </c>
      <c r="L15" s="199">
        <f>I15*K15/1000</f>
        <v>2.16</v>
      </c>
      <c r="M15" s="200">
        <f>J15*K15/1000</f>
        <v>3.24</v>
      </c>
    </row>
    <row r="16" spans="1:13" ht="16.5" customHeight="1">
      <c r="A16" s="62" t="s">
        <v>54</v>
      </c>
      <c r="B16" s="92">
        <v>150</v>
      </c>
      <c r="C16" s="92">
        <v>200</v>
      </c>
      <c r="D16" s="100">
        <v>45</v>
      </c>
      <c r="E16" s="7">
        <f aca="true" t="shared" si="0" ref="E16:E45">B16*D16/1000</f>
        <v>6.75</v>
      </c>
      <c r="F16" s="7">
        <f aca="true" t="shared" si="1" ref="F16:F45">C16*D16/1000</f>
        <v>9</v>
      </c>
      <c r="H16" s="288" t="s">
        <v>54</v>
      </c>
      <c r="I16" s="307">
        <f>'интернат 2022 цены по контр'!B14*60%</f>
        <v>90</v>
      </c>
      <c r="J16" s="307">
        <f>'интернат 2022 цены по контр'!C14*60%</f>
        <v>120</v>
      </c>
      <c r="K16" s="285">
        <v>46</v>
      </c>
      <c r="L16" s="201">
        <f aca="true" t="shared" si="2" ref="L16:L31">I16*K16/1000</f>
        <v>4.14</v>
      </c>
      <c r="M16" s="202">
        <f aca="true" t="shared" si="3" ref="M16:M35">J16*K16/1000</f>
        <v>5.52</v>
      </c>
    </row>
    <row r="17" spans="1:13" ht="17.25" customHeight="1">
      <c r="A17" s="62" t="s">
        <v>55</v>
      </c>
      <c r="B17" s="92">
        <v>15</v>
      </c>
      <c r="C17" s="92">
        <v>20</v>
      </c>
      <c r="D17" s="100">
        <v>32</v>
      </c>
      <c r="E17" s="7">
        <f t="shared" si="0"/>
        <v>0.48</v>
      </c>
      <c r="F17" s="7">
        <f t="shared" si="1"/>
        <v>0.64</v>
      </c>
      <c r="H17" s="288" t="s">
        <v>55</v>
      </c>
      <c r="I17" s="307">
        <f>'интернат 2022 цены по контр'!B15*60%</f>
        <v>9</v>
      </c>
      <c r="J17" s="307">
        <f>'интернат 2022 цены по контр'!C15*60%</f>
        <v>12</v>
      </c>
      <c r="K17" s="285">
        <v>38.9</v>
      </c>
      <c r="L17" s="201">
        <f t="shared" si="2"/>
        <v>0.35009999999999997</v>
      </c>
      <c r="M17" s="202">
        <f t="shared" si="3"/>
        <v>0.46679999999999994</v>
      </c>
    </row>
    <row r="18" spans="1:13" ht="30">
      <c r="A18" s="62" t="s">
        <v>56</v>
      </c>
      <c r="B18" s="92">
        <v>45</v>
      </c>
      <c r="C18" s="92">
        <v>50</v>
      </c>
      <c r="D18" s="100">
        <v>60</v>
      </c>
      <c r="E18" s="7">
        <f t="shared" si="0"/>
        <v>2.7</v>
      </c>
      <c r="F18" s="7">
        <f t="shared" si="1"/>
        <v>3</v>
      </c>
      <c r="H18" s="288" t="s">
        <v>56</v>
      </c>
      <c r="I18" s="307">
        <f>'интернат 2022 цены по контр'!B16*60%</f>
        <v>27</v>
      </c>
      <c r="J18" s="307">
        <f>'интернат 2022 цены по контр'!C16*60%</f>
        <v>30</v>
      </c>
      <c r="K18" s="285">
        <v>73.5</v>
      </c>
      <c r="L18" s="201">
        <f t="shared" si="2"/>
        <v>1.9845</v>
      </c>
      <c r="M18" s="202">
        <f t="shared" si="3"/>
        <v>2.205</v>
      </c>
    </row>
    <row r="19" spans="1:13" ht="13.5" customHeight="1">
      <c r="A19" s="62" t="s">
        <v>57</v>
      </c>
      <c r="B19" s="92">
        <v>15</v>
      </c>
      <c r="C19" s="92">
        <v>20</v>
      </c>
      <c r="D19" s="100">
        <v>44</v>
      </c>
      <c r="E19" s="7">
        <f t="shared" si="0"/>
        <v>0.66</v>
      </c>
      <c r="F19" s="7">
        <f t="shared" si="1"/>
        <v>0.88</v>
      </c>
      <c r="H19" s="288" t="s">
        <v>57</v>
      </c>
      <c r="I19" s="307">
        <f>'интернат 2022 цены по контр'!B17*60%</f>
        <v>9</v>
      </c>
      <c r="J19" s="307">
        <f>'интернат 2022 цены по контр'!C17*60%</f>
        <v>12</v>
      </c>
      <c r="K19" s="285">
        <v>48</v>
      </c>
      <c r="L19" s="201">
        <f t="shared" si="2"/>
        <v>0.432</v>
      </c>
      <c r="M19" s="202">
        <f t="shared" si="3"/>
        <v>0.576</v>
      </c>
    </row>
    <row r="20" spans="1:13" ht="15.75">
      <c r="A20" s="176" t="s">
        <v>58</v>
      </c>
      <c r="B20" s="173">
        <f>250-50</f>
        <v>200</v>
      </c>
      <c r="C20" s="173">
        <f>250-45</f>
        <v>205</v>
      </c>
      <c r="D20" s="100">
        <v>28</v>
      </c>
      <c r="E20" s="7">
        <f t="shared" si="0"/>
        <v>5.6</v>
      </c>
      <c r="F20" s="7">
        <f t="shared" si="1"/>
        <v>5.74</v>
      </c>
      <c r="H20" s="288" t="s">
        <v>58</v>
      </c>
      <c r="I20" s="307">
        <v>113.5</v>
      </c>
      <c r="J20" s="307">
        <v>138.5</v>
      </c>
      <c r="K20" s="285">
        <v>45</v>
      </c>
      <c r="L20" s="201">
        <f t="shared" si="2"/>
        <v>5.1075</v>
      </c>
      <c r="M20" s="202">
        <f t="shared" si="3"/>
        <v>6.2325</v>
      </c>
    </row>
    <row r="21" spans="1:13" ht="66.75" customHeight="1">
      <c r="A21" s="176" t="s">
        <v>59</v>
      </c>
      <c r="B21" s="173">
        <f>350-20</f>
        <v>330</v>
      </c>
      <c r="C21" s="173">
        <f>400-10</f>
        <v>390</v>
      </c>
      <c r="D21" s="100">
        <v>150</v>
      </c>
      <c r="E21" s="7">
        <f t="shared" si="0"/>
        <v>49.5</v>
      </c>
      <c r="F21" s="7">
        <f t="shared" si="1"/>
        <v>58.5</v>
      </c>
      <c r="H21" s="66" t="s">
        <v>217</v>
      </c>
      <c r="I21" s="307">
        <f>'интернат 2022 цены по контр'!B19*60%</f>
        <v>168</v>
      </c>
      <c r="J21" s="307">
        <f>'интернат 2022 цены по контр'!C19*60%</f>
        <v>192</v>
      </c>
      <c r="K21" s="285">
        <v>142.58</v>
      </c>
      <c r="L21" s="201">
        <f t="shared" si="2"/>
        <v>23.953440000000004</v>
      </c>
      <c r="M21" s="202">
        <f t="shared" si="3"/>
        <v>27.37536</v>
      </c>
    </row>
    <row r="22" spans="1:13" ht="17.25" customHeight="1">
      <c r="A22" s="176" t="s">
        <v>60</v>
      </c>
      <c r="B22" s="92">
        <v>200</v>
      </c>
      <c r="C22" s="92">
        <v>200</v>
      </c>
      <c r="D22" s="100">
        <v>150</v>
      </c>
      <c r="E22" s="7">
        <f t="shared" si="0"/>
        <v>30</v>
      </c>
      <c r="F22" s="7">
        <f t="shared" si="1"/>
        <v>30</v>
      </c>
      <c r="H22" s="288" t="s">
        <v>231</v>
      </c>
      <c r="I22" s="307">
        <f>'интернат 2022 цены по контр'!B20*60%</f>
        <v>111</v>
      </c>
      <c r="J22" s="307">
        <f>'интернат 2022 цены по контр'!C20*60%</f>
        <v>111</v>
      </c>
      <c r="K22" s="285">
        <v>145</v>
      </c>
      <c r="L22" s="201">
        <f t="shared" si="2"/>
        <v>16.095</v>
      </c>
      <c r="M22" s="202">
        <f t="shared" si="3"/>
        <v>16.095</v>
      </c>
    </row>
    <row r="23" spans="1:13" ht="15.75" customHeight="1">
      <c r="A23" s="83" t="s">
        <v>61</v>
      </c>
      <c r="B23" s="92">
        <v>15</v>
      </c>
      <c r="C23" s="92">
        <v>20</v>
      </c>
      <c r="D23" s="103">
        <v>159</v>
      </c>
      <c r="E23" s="7">
        <f t="shared" si="0"/>
        <v>2.385</v>
      </c>
      <c r="F23" s="7">
        <f t="shared" si="1"/>
        <v>3.18</v>
      </c>
      <c r="H23" s="289" t="s">
        <v>219</v>
      </c>
      <c r="I23" s="307">
        <f>'интернат 2022 цены по контр'!B21*60%</f>
        <v>9</v>
      </c>
      <c r="J23" s="307">
        <f>'интернат 2022 цены по контр'!C21*60%</f>
        <v>12</v>
      </c>
      <c r="K23" s="285">
        <v>190</v>
      </c>
      <c r="L23" s="201">
        <f t="shared" si="2"/>
        <v>1.71</v>
      </c>
      <c r="M23" s="202">
        <f t="shared" si="3"/>
        <v>2.28</v>
      </c>
    </row>
    <row r="24" spans="1:13" ht="24.75" customHeight="1">
      <c r="A24" s="83" t="s">
        <v>62</v>
      </c>
      <c r="B24" s="92">
        <v>200</v>
      </c>
      <c r="C24" s="92">
        <v>200</v>
      </c>
      <c r="D24" s="103">
        <v>55</v>
      </c>
      <c r="E24" s="7">
        <f t="shared" si="0"/>
        <v>11</v>
      </c>
      <c r="F24" s="7">
        <f t="shared" si="1"/>
        <v>11</v>
      </c>
      <c r="H24" s="289" t="s">
        <v>90</v>
      </c>
      <c r="I24" s="307">
        <f>'интернат 2022 цены по контр'!B22*60%</f>
        <v>120</v>
      </c>
      <c r="J24" s="307">
        <f>'интернат 2022 цены по контр'!C22*60%</f>
        <v>120</v>
      </c>
      <c r="K24" s="285">
        <v>120</v>
      </c>
      <c r="L24" s="201">
        <f t="shared" si="2"/>
        <v>14.4</v>
      </c>
      <c r="M24" s="202">
        <f t="shared" si="3"/>
        <v>14.4</v>
      </c>
    </row>
    <row r="25" spans="1:13" ht="12" customHeight="1">
      <c r="A25" s="176" t="s">
        <v>63</v>
      </c>
      <c r="B25" s="173">
        <v>77</v>
      </c>
      <c r="C25" s="173">
        <v>86</v>
      </c>
      <c r="D25" s="100">
        <v>240</v>
      </c>
      <c r="E25" s="7">
        <f t="shared" si="0"/>
        <v>18.48</v>
      </c>
      <c r="F25" s="7">
        <f t="shared" si="1"/>
        <v>20.64</v>
      </c>
      <c r="H25" s="288" t="s">
        <v>232</v>
      </c>
      <c r="I25" s="307">
        <f>'интернат 2022 цены по контр'!B23*60%</f>
        <v>42</v>
      </c>
      <c r="J25" s="307">
        <f>'интернат 2022 цены по контр'!C23*60%</f>
        <v>46.8</v>
      </c>
      <c r="K25" s="285">
        <v>310</v>
      </c>
      <c r="L25" s="201">
        <f t="shared" si="2"/>
        <v>13.02</v>
      </c>
      <c r="M25" s="202">
        <f t="shared" si="3"/>
        <v>14.508</v>
      </c>
    </row>
    <row r="26" spans="1:13" ht="12" customHeight="1">
      <c r="A26" s="176" t="s">
        <v>64</v>
      </c>
      <c r="B26" s="173">
        <v>40</v>
      </c>
      <c r="C26" s="173">
        <v>60</v>
      </c>
      <c r="D26" s="100">
        <v>175</v>
      </c>
      <c r="E26" s="7">
        <f t="shared" si="0"/>
        <v>7</v>
      </c>
      <c r="F26" s="7">
        <f t="shared" si="1"/>
        <v>10.5</v>
      </c>
      <c r="H26" s="288" t="s">
        <v>228</v>
      </c>
      <c r="I26" s="307">
        <f>'интернат 2022 цены по контр'!B24*60%</f>
        <v>18</v>
      </c>
      <c r="J26" s="307">
        <f>'интернат 2022 цены по контр'!C24*60%</f>
        <v>24</v>
      </c>
      <c r="K26" s="285">
        <v>328</v>
      </c>
      <c r="L26" s="201">
        <f t="shared" si="2"/>
        <v>5.904</v>
      </c>
      <c r="M26" s="202">
        <f t="shared" si="3"/>
        <v>7.872</v>
      </c>
    </row>
    <row r="27" spans="1:13" ht="12" customHeight="1">
      <c r="A27" s="62" t="s">
        <v>65</v>
      </c>
      <c r="B27" s="92">
        <v>60</v>
      </c>
      <c r="C27" s="92">
        <v>80</v>
      </c>
      <c r="D27" s="101">
        <v>500</v>
      </c>
      <c r="E27" s="7">
        <f t="shared" si="0"/>
        <v>30</v>
      </c>
      <c r="F27" s="7">
        <f t="shared" si="1"/>
        <v>40</v>
      </c>
      <c r="H27" s="288" t="s">
        <v>233</v>
      </c>
      <c r="I27" s="307">
        <f>'интернат 2022 цены по контр'!B25*60%</f>
        <v>21</v>
      </c>
      <c r="J27" s="307">
        <f>'интернат 2022 цены по контр'!C25*60%</f>
        <v>31.799999999999997</v>
      </c>
      <c r="K27" s="132">
        <v>260</v>
      </c>
      <c r="L27" s="201">
        <f>(I27*K27/1000)</f>
        <v>5.46</v>
      </c>
      <c r="M27" s="202">
        <f>(J27*K27/1000)</f>
        <v>8.268</v>
      </c>
    </row>
    <row r="28" spans="1:13" ht="12" customHeight="1">
      <c r="A28" s="62" t="s">
        <v>66</v>
      </c>
      <c r="B28" s="92">
        <v>15</v>
      </c>
      <c r="C28" s="92">
        <v>20</v>
      </c>
      <c r="D28" s="100">
        <v>260</v>
      </c>
      <c r="E28" s="7">
        <f t="shared" si="0"/>
        <v>3.9</v>
      </c>
      <c r="F28" s="7">
        <f t="shared" si="1"/>
        <v>5.2</v>
      </c>
      <c r="H28" s="288" t="s">
        <v>215</v>
      </c>
      <c r="I28" s="307">
        <f>'интернат 2022 цены по контр'!B26*60%</f>
        <v>34.8</v>
      </c>
      <c r="J28" s="307">
        <f>'интернат 2022 цены по контр'!C26*60%</f>
        <v>46.199999999999996</v>
      </c>
      <c r="K28" s="132">
        <v>340</v>
      </c>
      <c r="L28" s="201">
        <f t="shared" si="2"/>
        <v>11.831999999999999</v>
      </c>
      <c r="M28" s="202">
        <f t="shared" si="3"/>
        <v>15.707999999999998</v>
      </c>
    </row>
    <row r="29" spans="1:13" ht="12" customHeight="1">
      <c r="A29" s="62" t="s">
        <v>67</v>
      </c>
      <c r="B29" s="92">
        <v>300</v>
      </c>
      <c r="C29" s="92">
        <v>300</v>
      </c>
      <c r="D29" s="100">
        <v>67</v>
      </c>
      <c r="E29" s="7">
        <f t="shared" si="0"/>
        <v>20.1</v>
      </c>
      <c r="F29" s="7">
        <f t="shared" si="1"/>
        <v>20.1</v>
      </c>
      <c r="H29" s="288" t="s">
        <v>234</v>
      </c>
      <c r="I29" s="307">
        <f>'интернат 2022 цены по контр'!B27*60%</f>
        <v>180</v>
      </c>
      <c r="J29" s="307">
        <f>'интернат 2022 цены по контр'!C27*60%</f>
        <v>210</v>
      </c>
      <c r="K29" s="285">
        <v>100</v>
      </c>
      <c r="L29" s="201">
        <f t="shared" si="2"/>
        <v>18</v>
      </c>
      <c r="M29" s="202">
        <f t="shared" si="3"/>
        <v>21</v>
      </c>
    </row>
    <row r="30" spans="1:13" ht="12" customHeight="1">
      <c r="A30" s="62" t="s">
        <v>68</v>
      </c>
      <c r="B30" s="92">
        <v>150</v>
      </c>
      <c r="C30" s="92">
        <v>180</v>
      </c>
      <c r="D30" s="100">
        <v>67</v>
      </c>
      <c r="E30" s="7">
        <f t="shared" si="0"/>
        <v>10.05</v>
      </c>
      <c r="F30" s="7">
        <f t="shared" si="1"/>
        <v>12.06</v>
      </c>
      <c r="H30" s="288" t="s">
        <v>235</v>
      </c>
      <c r="I30" s="307">
        <f>'интернат 2022 цены по контр'!B28*60%</f>
        <v>90</v>
      </c>
      <c r="J30" s="307">
        <f>'интернат 2022 цены по контр'!C28*60%</f>
        <v>108</v>
      </c>
      <c r="K30" s="285">
        <v>142.1</v>
      </c>
      <c r="L30" s="201">
        <f t="shared" si="2"/>
        <v>12.789</v>
      </c>
      <c r="M30" s="202">
        <f t="shared" si="3"/>
        <v>15.3468</v>
      </c>
    </row>
    <row r="31" spans="1:13" ht="12" customHeight="1">
      <c r="A31" s="45" t="s">
        <v>69</v>
      </c>
      <c r="B31" s="92">
        <v>50</v>
      </c>
      <c r="C31" s="92">
        <v>60</v>
      </c>
      <c r="D31" s="100">
        <v>422</v>
      </c>
      <c r="E31" s="7">
        <f t="shared" si="0"/>
        <v>21.1</v>
      </c>
      <c r="F31" s="7">
        <f t="shared" si="1"/>
        <v>25.32</v>
      </c>
      <c r="H31" s="288" t="s">
        <v>236</v>
      </c>
      <c r="I31" s="307">
        <f>'интернат 2022 цены по контр'!B29*60%</f>
        <v>30</v>
      </c>
      <c r="J31" s="307">
        <f>'интернат 2022 цены по контр'!C29*60%</f>
        <v>36</v>
      </c>
      <c r="K31" s="132">
        <v>452.5</v>
      </c>
      <c r="L31" s="201">
        <f t="shared" si="2"/>
        <v>13.575</v>
      </c>
      <c r="M31" s="202">
        <f t="shared" si="3"/>
        <v>16.29</v>
      </c>
    </row>
    <row r="32" spans="1:13" ht="12" customHeight="1">
      <c r="A32" s="45" t="s">
        <v>70</v>
      </c>
      <c r="B32" s="92">
        <v>10</v>
      </c>
      <c r="C32" s="92">
        <v>12</v>
      </c>
      <c r="D32" s="101">
        <v>420</v>
      </c>
      <c r="E32" s="7">
        <f>B32*D32/1000</f>
        <v>4.2</v>
      </c>
      <c r="F32" s="7">
        <f t="shared" si="1"/>
        <v>5.04</v>
      </c>
      <c r="H32" s="288" t="s">
        <v>70</v>
      </c>
      <c r="I32" s="307">
        <f>'интернат 2022 цены по контр'!B30*60%</f>
        <v>6</v>
      </c>
      <c r="J32" s="307">
        <f>'интернат 2022 цены по контр'!C30*60%</f>
        <v>7.199999999999999</v>
      </c>
      <c r="K32" s="285">
        <v>530</v>
      </c>
      <c r="L32" s="201">
        <f>I32*K32/1000</f>
        <v>3.18</v>
      </c>
      <c r="M32" s="202">
        <f t="shared" si="3"/>
        <v>3.8159999999999994</v>
      </c>
    </row>
    <row r="33" spans="1:13" ht="12" customHeight="1">
      <c r="A33" s="45" t="s">
        <v>6</v>
      </c>
      <c r="B33" s="92">
        <v>10</v>
      </c>
      <c r="C33" s="92">
        <v>10</v>
      </c>
      <c r="D33" s="100">
        <v>240</v>
      </c>
      <c r="E33" s="7">
        <f>B33*D33/1000</f>
        <v>2.4</v>
      </c>
      <c r="F33" s="7">
        <f t="shared" si="1"/>
        <v>2.4</v>
      </c>
      <c r="H33" s="288" t="s">
        <v>237</v>
      </c>
      <c r="I33" s="307">
        <f>'интернат 2022 цены по контр'!B31*60%</f>
        <v>6</v>
      </c>
      <c r="J33" s="307">
        <f>'интернат 2022 цены по контр'!C31*60%</f>
        <v>6</v>
      </c>
      <c r="K33" s="285">
        <v>250</v>
      </c>
      <c r="L33" s="201">
        <f>I33*K33/1000</f>
        <v>1.5</v>
      </c>
      <c r="M33" s="202">
        <f t="shared" si="3"/>
        <v>1.5</v>
      </c>
    </row>
    <row r="34" spans="1:13" ht="14.25" customHeight="1">
      <c r="A34" s="45" t="s">
        <v>71</v>
      </c>
      <c r="B34" s="92">
        <v>30</v>
      </c>
      <c r="C34" s="92">
        <v>35</v>
      </c>
      <c r="D34" s="100">
        <v>378</v>
      </c>
      <c r="E34" s="7">
        <f t="shared" si="0"/>
        <v>11.34</v>
      </c>
      <c r="F34" s="7">
        <f t="shared" si="1"/>
        <v>13.23</v>
      </c>
      <c r="H34" s="288" t="s">
        <v>71</v>
      </c>
      <c r="I34" s="307">
        <f>'интернат 2022 цены по контр'!B32*60%</f>
        <v>18</v>
      </c>
      <c r="J34" s="307">
        <f>'интернат 2022 цены по контр'!C32*60%</f>
        <v>21</v>
      </c>
      <c r="K34" s="132">
        <v>620</v>
      </c>
      <c r="L34" s="201">
        <f>I34*K34/1000</f>
        <v>11.16</v>
      </c>
      <c r="M34" s="202">
        <f t="shared" si="3"/>
        <v>13.02</v>
      </c>
    </row>
    <row r="35" spans="1:13" ht="16.5" customHeight="1">
      <c r="A35" s="45" t="s">
        <v>72</v>
      </c>
      <c r="B35" s="92">
        <v>15</v>
      </c>
      <c r="C35" s="92">
        <v>18</v>
      </c>
      <c r="D35" s="100">
        <v>110</v>
      </c>
      <c r="E35" s="7">
        <f t="shared" si="0"/>
        <v>1.65</v>
      </c>
      <c r="F35" s="7">
        <f t="shared" si="1"/>
        <v>1.98</v>
      </c>
      <c r="H35" s="288" t="s">
        <v>72</v>
      </c>
      <c r="I35" s="307">
        <f>'интернат 2022 цены по контр'!B33*60%</f>
        <v>9</v>
      </c>
      <c r="J35" s="307">
        <f>'интернат 2022 цены по контр'!C33*60%</f>
        <v>10.799999999999999</v>
      </c>
      <c r="K35" s="285">
        <v>159.86</v>
      </c>
      <c r="L35" s="201">
        <f>I35*K35/1000</f>
        <v>1.4387400000000001</v>
      </c>
      <c r="M35" s="202">
        <f t="shared" si="3"/>
        <v>1.726488</v>
      </c>
    </row>
    <row r="36" spans="1:13" ht="16.5" customHeight="1">
      <c r="A36" s="45" t="s">
        <v>73</v>
      </c>
      <c r="B36" s="92" t="s">
        <v>74</v>
      </c>
      <c r="C36" s="92" t="s">
        <v>74</v>
      </c>
      <c r="D36" s="102">
        <v>6</v>
      </c>
      <c r="E36" s="94">
        <v>6</v>
      </c>
      <c r="F36" s="94">
        <v>6</v>
      </c>
      <c r="H36" s="288" t="s">
        <v>238</v>
      </c>
      <c r="I36" s="307">
        <f>'интернат 2022 цены по контр'!B34*60%</f>
        <v>0.6</v>
      </c>
      <c r="J36" s="307">
        <f>'интернат 2022 цены по контр'!C34*60%</f>
        <v>0.6</v>
      </c>
      <c r="K36" s="286">
        <v>9.2</v>
      </c>
      <c r="L36" s="201">
        <f>I36*K36</f>
        <v>5.52</v>
      </c>
      <c r="M36" s="202">
        <f>J36*K36</f>
        <v>5.52</v>
      </c>
    </row>
    <row r="37" spans="1:13" ht="105">
      <c r="A37" s="45" t="s">
        <v>35</v>
      </c>
      <c r="B37" s="92">
        <v>40</v>
      </c>
      <c r="C37" s="92">
        <v>45</v>
      </c>
      <c r="D37" s="100">
        <v>62</v>
      </c>
      <c r="E37" s="7">
        <f t="shared" si="0"/>
        <v>2.48</v>
      </c>
      <c r="F37" s="7">
        <f t="shared" si="1"/>
        <v>2.79</v>
      </c>
      <c r="H37" s="65" t="s">
        <v>226</v>
      </c>
      <c r="I37" s="307">
        <f>'интернат 2022 цены по контр'!B35*60%</f>
        <v>18</v>
      </c>
      <c r="J37" s="307">
        <f>'интернат 2022 цены по контр'!C35*60%</f>
        <v>21</v>
      </c>
      <c r="K37" s="285">
        <v>78</v>
      </c>
      <c r="L37" s="201">
        <f aca="true" t="shared" si="4" ref="L37:L45">I37*K37/1000</f>
        <v>1.404</v>
      </c>
      <c r="M37" s="202">
        <f aca="true" t="shared" si="5" ref="M37:M45">J37*K37/1000</f>
        <v>1.638</v>
      </c>
    </row>
    <row r="38" spans="1:13" ht="14.25" customHeight="1">
      <c r="A38" s="45" t="s">
        <v>75</v>
      </c>
      <c r="B38" s="92">
        <v>10</v>
      </c>
      <c r="C38" s="92">
        <v>15</v>
      </c>
      <c r="D38" s="100">
        <v>180</v>
      </c>
      <c r="E38" s="7">
        <f t="shared" si="0"/>
        <v>1.8</v>
      </c>
      <c r="F38" s="7">
        <f t="shared" si="1"/>
        <v>2.7</v>
      </c>
      <c r="H38" s="288" t="s">
        <v>75</v>
      </c>
      <c r="I38" s="307">
        <f>'интернат 2022 цены по контр'!B36*60%</f>
        <v>6</v>
      </c>
      <c r="J38" s="307">
        <f>'интернат 2022 цены по контр'!C36*60%</f>
        <v>9</v>
      </c>
      <c r="K38" s="285">
        <v>192</v>
      </c>
      <c r="L38" s="201">
        <f t="shared" si="4"/>
        <v>1.152</v>
      </c>
      <c r="M38" s="202">
        <f t="shared" si="5"/>
        <v>1.728</v>
      </c>
    </row>
    <row r="39" spans="1:13" ht="15">
      <c r="A39" s="45" t="s">
        <v>76</v>
      </c>
      <c r="B39" s="92">
        <v>0.4</v>
      </c>
      <c r="C39" s="92">
        <v>0.4</v>
      </c>
      <c r="D39" s="100">
        <v>360</v>
      </c>
      <c r="E39" s="7">
        <f t="shared" si="0"/>
        <v>0.144</v>
      </c>
      <c r="F39" s="7">
        <f t="shared" si="1"/>
        <v>0.144</v>
      </c>
      <c r="H39" s="288" t="s">
        <v>76</v>
      </c>
      <c r="I39" s="307">
        <f>'интернат 2022 цены по контр'!B37*60%</f>
        <v>0.6</v>
      </c>
      <c r="J39" s="307">
        <f>'интернат 2022 цены по контр'!C37*60%</f>
        <v>1.2</v>
      </c>
      <c r="K39" s="285">
        <v>523</v>
      </c>
      <c r="L39" s="201">
        <f t="shared" si="4"/>
        <v>0.3138</v>
      </c>
      <c r="M39" s="202">
        <f t="shared" si="5"/>
        <v>0.6276</v>
      </c>
    </row>
    <row r="40" spans="1:13" ht="15">
      <c r="A40" s="45"/>
      <c r="B40" s="92"/>
      <c r="C40" s="92"/>
      <c r="D40" s="100"/>
      <c r="E40" s="7"/>
      <c r="F40" s="7"/>
      <c r="H40" s="288" t="s">
        <v>8</v>
      </c>
      <c r="I40" s="307">
        <f>'интернат 2022 цены по контр'!B38*60%</f>
        <v>0.6</v>
      </c>
      <c r="J40" s="307">
        <f>'интернат 2022 цены по контр'!C38*60%</f>
        <v>0.72</v>
      </c>
      <c r="K40" s="285">
        <v>900</v>
      </c>
      <c r="L40" s="201">
        <f>I40*K40/1000</f>
        <v>0.54</v>
      </c>
      <c r="M40" s="202">
        <f>J40*K40/1000</f>
        <v>0.648</v>
      </c>
    </row>
    <row r="41" spans="1:13" ht="15">
      <c r="A41" s="45"/>
      <c r="B41" s="92"/>
      <c r="C41" s="92"/>
      <c r="D41" s="100"/>
      <c r="E41" s="7"/>
      <c r="F41" s="7"/>
      <c r="H41" s="288" t="s">
        <v>89</v>
      </c>
      <c r="I41" s="307">
        <f>'интернат 2022 цены по контр'!B39*60%</f>
        <v>1.2</v>
      </c>
      <c r="J41" s="307">
        <f>'интернат 2022 цены по контр'!C39*60%</f>
        <v>1.2</v>
      </c>
      <c r="K41" s="285">
        <v>533</v>
      </c>
      <c r="L41" s="201">
        <f>I41*K41/1000</f>
        <v>0.6396000000000001</v>
      </c>
      <c r="M41" s="202">
        <f>J41*K41/1000</f>
        <v>0.6396000000000001</v>
      </c>
    </row>
    <row r="42" spans="1:13" ht="15">
      <c r="A42" s="45"/>
      <c r="B42" s="92"/>
      <c r="C42" s="92"/>
      <c r="D42" s="100"/>
      <c r="E42" s="7"/>
      <c r="F42" s="7"/>
      <c r="H42" s="288" t="s">
        <v>78</v>
      </c>
      <c r="I42" s="307">
        <f>'интернат 2022 цены по контр'!B40*60%</f>
        <v>0.12</v>
      </c>
      <c r="J42" s="307">
        <f>'интернат 2022 цены по контр'!C40*60%</f>
        <v>0.18</v>
      </c>
      <c r="K42" s="285">
        <v>1600</v>
      </c>
      <c r="L42" s="201">
        <f>I42*K42/1000</f>
        <v>0.192</v>
      </c>
      <c r="M42" s="202">
        <f>J42*K42/1000</f>
        <v>0.288</v>
      </c>
    </row>
    <row r="43" spans="1:13" ht="15">
      <c r="A43" s="45" t="s">
        <v>77</v>
      </c>
      <c r="B43" s="92">
        <v>1.2</v>
      </c>
      <c r="C43" s="92">
        <v>1.2</v>
      </c>
      <c r="D43" s="100">
        <v>350</v>
      </c>
      <c r="E43" s="7">
        <f t="shared" si="0"/>
        <v>0.42</v>
      </c>
      <c r="F43" s="7">
        <f t="shared" si="1"/>
        <v>0.42</v>
      </c>
      <c r="H43" s="288" t="s">
        <v>227</v>
      </c>
      <c r="I43" s="307">
        <f>'интернат 2022 цены по контр'!B41*60%</f>
        <v>1.7999999999999998</v>
      </c>
      <c r="J43" s="307">
        <f>'интернат 2022 цены по контр'!C41*60%</f>
        <v>2.4</v>
      </c>
      <c r="K43" s="285">
        <v>270</v>
      </c>
      <c r="L43" s="201">
        <f t="shared" si="4"/>
        <v>0.48599999999999993</v>
      </c>
      <c r="M43" s="202">
        <f t="shared" si="5"/>
        <v>0.648</v>
      </c>
    </row>
    <row r="44" spans="1:13" ht="14.25" customHeight="1">
      <c r="A44" s="45" t="s">
        <v>78</v>
      </c>
      <c r="B44" s="92">
        <v>1</v>
      </c>
      <c r="C44" s="92">
        <v>2</v>
      </c>
      <c r="D44" s="100">
        <v>1100</v>
      </c>
      <c r="E44" s="7">
        <f t="shared" si="0"/>
        <v>1.1</v>
      </c>
      <c r="F44" s="7">
        <f t="shared" si="1"/>
        <v>2.2</v>
      </c>
      <c r="H44" s="288" t="s">
        <v>239</v>
      </c>
      <c r="I44" s="307">
        <f>'интернат 2022 цены по контр'!B42*60%</f>
        <v>1.2</v>
      </c>
      <c r="J44" s="307">
        <f>'интернат 2022 цены по контр'!C42*60%</f>
        <v>1.2</v>
      </c>
      <c r="K44" s="285">
        <v>2600</v>
      </c>
      <c r="L44" s="201">
        <f t="shared" si="4"/>
        <v>3.12</v>
      </c>
      <c r="M44" s="202">
        <f t="shared" si="5"/>
        <v>3.12</v>
      </c>
    </row>
    <row r="45" spans="1:13" ht="15.75" thickBot="1">
      <c r="A45" s="45" t="s">
        <v>79</v>
      </c>
      <c r="B45" s="92">
        <v>5</v>
      </c>
      <c r="C45" s="92">
        <v>7</v>
      </c>
      <c r="D45" s="100">
        <v>16</v>
      </c>
      <c r="E45" s="7">
        <f t="shared" si="0"/>
        <v>0.08</v>
      </c>
      <c r="F45" s="7">
        <f t="shared" si="1"/>
        <v>0.112</v>
      </c>
      <c r="H45" s="288" t="s">
        <v>240</v>
      </c>
      <c r="I45" s="307">
        <f>'интернат 2022 цены по контр'!B43*60%</f>
        <v>1.7999999999999998</v>
      </c>
      <c r="J45" s="307">
        <f>'интернат 2022 цены по контр'!C43*60%</f>
        <v>3</v>
      </c>
      <c r="K45" s="285">
        <v>22</v>
      </c>
      <c r="L45" s="203">
        <f t="shared" si="4"/>
        <v>0.039599999999999996</v>
      </c>
      <c r="M45" s="204">
        <f t="shared" si="5"/>
        <v>0.066</v>
      </c>
    </row>
    <row r="46" spans="1:13" ht="15.75" thickBot="1">
      <c r="A46" s="48" t="s">
        <v>37</v>
      </c>
      <c r="B46" s="49"/>
      <c r="C46" s="50"/>
      <c r="D46" s="56"/>
      <c r="E46" s="51">
        <f>SUM(E15:E45)</f>
        <v>254.679</v>
      </c>
      <c r="F46" s="51">
        <f>SUM(F15:F45)</f>
        <v>297.8160000000001</v>
      </c>
      <c r="H46" s="333" t="s">
        <v>37</v>
      </c>
      <c r="I46" s="334"/>
      <c r="J46" s="335"/>
      <c r="K46" s="336"/>
      <c r="L46" s="337">
        <f>SUM(L15:L45)</f>
        <v>181.59827999999996</v>
      </c>
      <c r="M46" s="338">
        <f>SUM(M15:M45)</f>
        <v>212.36914800000002</v>
      </c>
    </row>
    <row r="47" spans="1:13" ht="19.5" customHeight="1" thickBot="1">
      <c r="A47" s="58" t="s">
        <v>38</v>
      </c>
      <c r="B47" s="59"/>
      <c r="C47" s="60"/>
      <c r="D47" s="61">
        <f>(E46+F46)/2</f>
        <v>276.24750000000006</v>
      </c>
      <c r="E47" s="59"/>
      <c r="F47" s="60"/>
      <c r="H47" s="339" t="s">
        <v>38</v>
      </c>
      <c r="I47" s="340"/>
      <c r="J47" s="341"/>
      <c r="K47" s="342">
        <f>(L46+M46)/2</f>
        <v>196.983714</v>
      </c>
      <c r="L47" s="343"/>
      <c r="M47" s="344"/>
    </row>
    <row r="48" spans="4:13" ht="12.75">
      <c r="D48" s="57"/>
      <c r="E48" s="52"/>
      <c r="F48" s="53"/>
      <c r="K48" s="57">
        <v>196.98</v>
      </c>
      <c r="L48" s="52">
        <v>181.6</v>
      </c>
      <c r="M48" s="53">
        <v>212.37</v>
      </c>
    </row>
    <row r="49" spans="3:11" ht="12.75">
      <c r="C49" s="63" t="s">
        <v>120</v>
      </c>
      <c r="D49" s="64">
        <v>117</v>
      </c>
      <c r="J49" s="63"/>
      <c r="K49" s="64"/>
    </row>
    <row r="50" spans="3:12" ht="12.75">
      <c r="C50" s="15" t="s">
        <v>108</v>
      </c>
      <c r="D50" s="85">
        <f>(D47/D49*100)-100</f>
        <v>136.10897435897442</v>
      </c>
      <c r="E50" s="54"/>
      <c r="K50" s="85"/>
      <c r="L50" s="54"/>
    </row>
    <row r="51" spans="3:11" ht="12.75">
      <c r="C51" s="15" t="s">
        <v>109</v>
      </c>
      <c r="D51" s="64">
        <f>D47-D49</f>
        <v>159.24750000000006</v>
      </c>
      <c r="K51" s="64"/>
    </row>
    <row r="52" spans="1:11" ht="13.5" thickBot="1">
      <c r="A52" s="405"/>
      <c r="B52" s="405"/>
      <c r="C52" s="405"/>
      <c r="D52" s="405"/>
      <c r="H52" s="405"/>
      <c r="I52" s="405"/>
      <c r="J52" s="405"/>
      <c r="K52" s="405"/>
    </row>
    <row r="53" spans="1:11" s="2" customFormat="1" ht="39.75" thickBot="1">
      <c r="A53" s="76" t="s">
        <v>81</v>
      </c>
      <c r="B53" s="77" t="s">
        <v>101</v>
      </c>
      <c r="C53" s="77" t="s">
        <v>102</v>
      </c>
      <c r="D53" s="78" t="s">
        <v>104</v>
      </c>
      <c r="H53" s="76" t="s">
        <v>81</v>
      </c>
      <c r="I53" s="77" t="s">
        <v>101</v>
      </c>
      <c r="J53" s="77" t="s">
        <v>102</v>
      </c>
      <c r="K53" s="78" t="s">
        <v>104</v>
      </c>
    </row>
    <row r="54" spans="1:11" s="2" customFormat="1" ht="13.5" thickBot="1">
      <c r="A54" s="79">
        <v>1</v>
      </c>
      <c r="B54" s="80">
        <v>2</v>
      </c>
      <c r="C54" s="80">
        <v>3</v>
      </c>
      <c r="D54" s="81" t="s">
        <v>103</v>
      </c>
      <c r="H54" s="79">
        <v>1</v>
      </c>
      <c r="I54" s="80">
        <v>2</v>
      </c>
      <c r="J54" s="80">
        <v>3</v>
      </c>
      <c r="K54" s="81" t="s">
        <v>103</v>
      </c>
    </row>
    <row r="55" spans="1:11" s="70" customFormat="1" ht="13.5" thickBot="1">
      <c r="A55" s="73">
        <v>870</v>
      </c>
      <c r="B55" s="82">
        <f>D47</f>
        <v>276.24750000000006</v>
      </c>
      <c r="C55" s="74">
        <v>21</v>
      </c>
      <c r="D55" s="75">
        <f>A55*B55*C55</f>
        <v>5047041.825000001</v>
      </c>
      <c r="H55" s="73">
        <v>870</v>
      </c>
      <c r="I55" s="82">
        <f>K47</f>
        <v>196.983714</v>
      </c>
      <c r="J55" s="74">
        <v>21</v>
      </c>
      <c r="K55" s="75">
        <f>H55*I55*J55</f>
        <v>3598892.4547799993</v>
      </c>
    </row>
    <row r="56" spans="2:11" s="70" customFormat="1" ht="12.75">
      <c r="B56" s="19"/>
      <c r="C56" s="19"/>
      <c r="D56" s="71"/>
      <c r="I56" s="19"/>
      <c r="J56" s="19"/>
      <c r="K56" s="71"/>
    </row>
    <row r="57" spans="2:13" s="70" customFormat="1" ht="26.25">
      <c r="B57" s="19"/>
      <c r="C57" s="19" t="s">
        <v>105</v>
      </c>
      <c r="D57" s="72">
        <f>2124600+12990</f>
        <v>2137590</v>
      </c>
      <c r="E57" s="70" t="s">
        <v>107</v>
      </c>
      <c r="F57" s="70" t="s">
        <v>110</v>
      </c>
      <c r="I57" s="19"/>
      <c r="J57" s="19" t="s">
        <v>105</v>
      </c>
      <c r="K57" s="72">
        <f>2124600+12990</f>
        <v>2137590</v>
      </c>
      <c r="L57" s="70" t="s">
        <v>107</v>
      </c>
      <c r="M57" s="70" t="s">
        <v>110</v>
      </c>
    </row>
    <row r="58" spans="2:11" s="70" customFormat="1" ht="12.75">
      <c r="B58" s="19"/>
      <c r="C58" s="19" t="s">
        <v>106</v>
      </c>
      <c r="D58" s="72">
        <f>D57-D55</f>
        <v>-2909451.825000001</v>
      </c>
      <c r="I58" s="19"/>
      <c r="J58" s="19" t="s">
        <v>106</v>
      </c>
      <c r="K58" s="72">
        <f>K57-K55</f>
        <v>-1461302.4547799993</v>
      </c>
    </row>
    <row r="59" spans="1:12" ht="12.75">
      <c r="A59" s="10"/>
      <c r="B59" s="18"/>
      <c r="C59" s="18"/>
      <c r="D59" s="84"/>
      <c r="E59" s="10"/>
      <c r="H59" s="10"/>
      <c r="I59" s="18"/>
      <c r="J59" s="18"/>
      <c r="K59" s="84"/>
      <c r="L59" s="10"/>
    </row>
    <row r="60" spans="1:12" ht="12.75">
      <c r="A60" s="10"/>
      <c r="B60" s="18"/>
      <c r="C60" s="18"/>
      <c r="D60" s="84"/>
      <c r="E60" s="10"/>
      <c r="H60" s="10"/>
      <c r="I60" s="18"/>
      <c r="J60" s="18"/>
      <c r="K60" s="84"/>
      <c r="L60" s="10"/>
    </row>
    <row r="61" spans="1:12" ht="12.75">
      <c r="A61" s="10"/>
      <c r="B61" s="18"/>
      <c r="C61" s="18"/>
      <c r="D61" s="84"/>
      <c r="E61" s="10"/>
      <c r="H61" s="10"/>
      <c r="I61" s="18"/>
      <c r="J61" s="18"/>
      <c r="K61" s="84"/>
      <c r="L61" s="10"/>
    </row>
  </sheetData>
  <sheetProtection/>
  <mergeCells count="23">
    <mergeCell ref="L1:M1"/>
    <mergeCell ref="K2:M2"/>
    <mergeCell ref="K3:M3"/>
    <mergeCell ref="K4:M4"/>
    <mergeCell ref="K5:M5"/>
    <mergeCell ref="A7:F7"/>
    <mergeCell ref="H7:M7"/>
    <mergeCell ref="A8:F8"/>
    <mergeCell ref="H8:M8"/>
    <mergeCell ref="A9:F9"/>
    <mergeCell ref="H9:M9"/>
    <mergeCell ref="A10:F10"/>
    <mergeCell ref="H10:M10"/>
    <mergeCell ref="K13:K14"/>
    <mergeCell ref="L13:M13"/>
    <mergeCell ref="A52:D52"/>
    <mergeCell ref="H52:K52"/>
    <mergeCell ref="A13:A14"/>
    <mergeCell ref="B13:C13"/>
    <mergeCell ref="D13:D14"/>
    <mergeCell ref="E13:F13"/>
    <mergeCell ref="H13:H14"/>
    <mergeCell ref="I13:J13"/>
  </mergeCells>
  <printOptions/>
  <pageMargins left="0.6692913385826772" right="0.4330708661417323" top="0.4330708661417323" bottom="0.5905511811023623" header="0.4330708661417323" footer="0.5511811023622047"/>
  <pageSetup fitToHeight="1" fitToWidth="1" horizontalDpi="600" verticalDpi="600" orientation="portrait" paperSize="9" scale="86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M49"/>
  <sheetViews>
    <sheetView view="pageBreakPreview" zoomScaleSheetLayoutView="100" zoomScalePageLayoutView="0" workbookViewId="0" topLeftCell="A25">
      <selection activeCell="N42" sqref="N42"/>
    </sheetView>
  </sheetViews>
  <sheetFormatPr defaultColWidth="9.140625" defaultRowHeight="12.75"/>
  <cols>
    <col min="1" max="1" width="31.7109375" style="9" customWidth="1"/>
    <col min="2" max="2" width="8.57421875" style="9" customWidth="1"/>
    <col min="3" max="3" width="9.00390625" style="9" customWidth="1"/>
    <col min="4" max="4" width="9.57421875" style="9" customWidth="1"/>
    <col min="5" max="6" width="9.140625" style="9" customWidth="1"/>
    <col min="7" max="7" width="8.140625" style="9" customWidth="1"/>
    <col min="8" max="8" width="7.421875" style="9" customWidth="1"/>
    <col min="9" max="9" width="9.140625" style="9" customWidth="1"/>
    <col min="10" max="10" width="11.00390625" style="9" customWidth="1"/>
    <col min="11" max="16384" width="9.140625" style="9" customWidth="1"/>
  </cols>
  <sheetData>
    <row r="1" spans="1:10" ht="12.75">
      <c r="A1" s="13"/>
      <c r="B1" s="146"/>
      <c r="C1" s="146"/>
      <c r="D1" s="13"/>
      <c r="E1" s="13"/>
      <c r="F1" s="13"/>
      <c r="G1" s="13"/>
      <c r="H1" s="386" t="s">
        <v>178</v>
      </c>
      <c r="I1" s="386"/>
      <c r="J1" s="386"/>
    </row>
    <row r="2" spans="1:10" ht="12.75">
      <c r="A2" s="158" t="s">
        <v>145</v>
      </c>
      <c r="D2" s="372"/>
      <c r="E2" s="372"/>
      <c r="F2" s="372"/>
      <c r="G2" s="372" t="s">
        <v>146</v>
      </c>
      <c r="H2" s="372"/>
      <c r="I2" s="372"/>
      <c r="J2" s="372"/>
    </row>
    <row r="3" spans="1:10" ht="12.75">
      <c r="A3" s="9" t="s">
        <v>192</v>
      </c>
      <c r="D3" s="373"/>
      <c r="E3" s="373"/>
      <c r="F3" s="373"/>
      <c r="G3" s="154" t="s">
        <v>147</v>
      </c>
      <c r="H3" s="154"/>
      <c r="I3" s="160"/>
      <c r="J3" s="160"/>
    </row>
    <row r="4" spans="1:10" ht="12.75">
      <c r="A4" s="9" t="s">
        <v>193</v>
      </c>
      <c r="D4" s="373"/>
      <c r="E4" s="373"/>
      <c r="F4" s="373"/>
      <c r="G4" s="154" t="s">
        <v>148</v>
      </c>
      <c r="H4" s="154"/>
      <c r="I4" s="160"/>
      <c r="J4" s="160"/>
    </row>
    <row r="5" spans="1:10" ht="17.25" customHeight="1">
      <c r="A5" s="9" t="s">
        <v>191</v>
      </c>
      <c r="D5" s="373"/>
      <c r="E5" s="373"/>
      <c r="F5" s="373"/>
      <c r="G5" s="154" t="s">
        <v>186</v>
      </c>
      <c r="H5" s="154"/>
      <c r="I5" s="160"/>
      <c r="J5" s="160"/>
    </row>
    <row r="6" spans="1:10" ht="12.75">
      <c r="A6" s="13"/>
      <c r="B6" s="146"/>
      <c r="C6" s="146"/>
      <c r="D6" s="13"/>
      <c r="E6" s="13"/>
      <c r="F6" s="13"/>
      <c r="G6" s="13"/>
      <c r="H6" s="153"/>
      <c r="I6" s="153"/>
      <c r="J6" s="153"/>
    </row>
    <row r="7" spans="1:10" ht="12.75">
      <c r="A7" s="13"/>
      <c r="B7" s="13"/>
      <c r="C7" s="13"/>
      <c r="D7" s="13"/>
      <c r="E7" s="13"/>
      <c r="F7" s="13"/>
      <c r="G7" s="13"/>
      <c r="H7" s="13"/>
      <c r="I7" s="13"/>
      <c r="J7" s="13"/>
    </row>
    <row r="8" spans="1:10" ht="48.75" customHeight="1">
      <c r="A8" s="419" t="s">
        <v>187</v>
      </c>
      <c r="B8" s="419"/>
      <c r="C8" s="419"/>
      <c r="D8" s="419"/>
      <c r="E8" s="419"/>
      <c r="F8" s="419"/>
      <c r="G8" s="419"/>
      <c r="H8" s="419"/>
      <c r="I8" s="419"/>
      <c r="J8" s="419"/>
    </row>
    <row r="9" spans="1:10" ht="15.75" customHeight="1">
      <c r="A9" s="420" t="s">
        <v>125</v>
      </c>
      <c r="B9" s="420"/>
      <c r="C9" s="420"/>
      <c r="D9" s="420"/>
      <c r="E9" s="420"/>
      <c r="F9" s="420"/>
      <c r="G9" s="420"/>
      <c r="H9" s="420"/>
      <c r="I9" s="420"/>
      <c r="J9" s="420"/>
    </row>
    <row r="10" spans="1:10" ht="15.75" customHeight="1" thickBot="1">
      <c r="A10" s="147"/>
      <c r="B10" s="147"/>
      <c r="C10" s="147"/>
      <c r="D10" s="147"/>
      <c r="E10" s="147"/>
      <c r="F10" s="147"/>
      <c r="G10" s="147"/>
      <c r="H10" s="147"/>
      <c r="I10" s="147"/>
      <c r="J10" s="147"/>
    </row>
    <row r="11" spans="1:10" ht="75" customHeight="1">
      <c r="A11" s="421"/>
      <c r="B11" s="423" t="s">
        <v>41</v>
      </c>
      <c r="C11" s="424"/>
      <c r="D11" s="425" t="s">
        <v>0</v>
      </c>
      <c r="E11" s="423" t="s">
        <v>42</v>
      </c>
      <c r="F11" s="424"/>
      <c r="G11" s="427" t="s">
        <v>43</v>
      </c>
      <c r="H11" s="428"/>
      <c r="I11" s="429" t="s">
        <v>44</v>
      </c>
      <c r="J11" s="430"/>
    </row>
    <row r="12" spans="1:10" ht="24.75" thickBot="1">
      <c r="A12" s="422"/>
      <c r="B12" s="263" t="s">
        <v>1</v>
      </c>
      <c r="C12" s="264" t="s">
        <v>2</v>
      </c>
      <c r="D12" s="426"/>
      <c r="E12" s="265" t="s">
        <v>1</v>
      </c>
      <c r="F12" s="266" t="s">
        <v>2</v>
      </c>
      <c r="G12" s="148" t="s">
        <v>1</v>
      </c>
      <c r="H12" s="139" t="s">
        <v>2</v>
      </c>
      <c r="I12" s="148" t="s">
        <v>1</v>
      </c>
      <c r="J12" s="149" t="s">
        <v>2</v>
      </c>
    </row>
    <row r="13" spans="1:13" ht="15" customHeight="1">
      <c r="A13" s="246" t="s">
        <v>53</v>
      </c>
      <c r="B13" s="267">
        <v>80</v>
      </c>
      <c r="C13" s="268">
        <v>120</v>
      </c>
      <c r="D13" s="269">
        <v>45.09</v>
      </c>
      <c r="E13" s="270">
        <f>ROUND(D13/1000*B13,2)</f>
        <v>3.61</v>
      </c>
      <c r="F13" s="271">
        <f>ROUND(D13/1000*C13,2)</f>
        <v>5.41</v>
      </c>
      <c r="G13" s="215">
        <f>B13*0.7</f>
        <v>56</v>
      </c>
      <c r="H13" s="253">
        <f>C13*0.7</f>
        <v>84</v>
      </c>
      <c r="I13" s="255">
        <f>D13/1000*G13</f>
        <v>2.52504</v>
      </c>
      <c r="J13" s="256">
        <f>D13/1000*H13</f>
        <v>3.7875600000000005</v>
      </c>
      <c r="M13" s="13"/>
    </row>
    <row r="14" spans="1:13" ht="12.75">
      <c r="A14" s="246" t="s">
        <v>54</v>
      </c>
      <c r="B14" s="272">
        <v>150</v>
      </c>
      <c r="C14" s="273">
        <v>200</v>
      </c>
      <c r="D14" s="269">
        <v>46.42</v>
      </c>
      <c r="E14" s="270">
        <f>ROUND(D14/1000*B14,2)</f>
        <v>6.96</v>
      </c>
      <c r="F14" s="271">
        <f aca="true" t="shared" si="0" ref="F14:F40">ROUND(D14/1000*C14,2)</f>
        <v>9.28</v>
      </c>
      <c r="G14" s="215">
        <f aca="true" t="shared" si="1" ref="G14:G40">B14*0.7</f>
        <v>105</v>
      </c>
      <c r="H14" s="253">
        <f aca="true" t="shared" si="2" ref="H14:H40">C14*0.7</f>
        <v>140</v>
      </c>
      <c r="I14" s="257">
        <f>D14/1000*G14</f>
        <v>4.8741</v>
      </c>
      <c r="J14" s="258">
        <f>D14/1000*H14</f>
        <v>6.4988</v>
      </c>
      <c r="M14" s="13"/>
    </row>
    <row r="15" spans="1:13" ht="12.75">
      <c r="A15" s="246" t="s">
        <v>55</v>
      </c>
      <c r="B15" s="272">
        <v>15</v>
      </c>
      <c r="C15" s="273">
        <v>20</v>
      </c>
      <c r="D15" s="269">
        <v>38.66</v>
      </c>
      <c r="E15" s="270">
        <f aca="true" t="shared" si="3" ref="E15:E40">ROUND(D15/1000*B15,2)</f>
        <v>0.58</v>
      </c>
      <c r="F15" s="271">
        <f t="shared" si="0"/>
        <v>0.77</v>
      </c>
      <c r="G15" s="215">
        <f t="shared" si="1"/>
        <v>10.5</v>
      </c>
      <c r="H15" s="253">
        <f t="shared" si="2"/>
        <v>14</v>
      </c>
      <c r="I15" s="257">
        <f aca="true" t="shared" si="4" ref="I15:I40">D15/1000*G15</f>
        <v>0.40593</v>
      </c>
      <c r="J15" s="258">
        <f aca="true" t="shared" si="5" ref="J15:J40">D15/1000*H15</f>
        <v>0.5412399999999999</v>
      </c>
      <c r="M15" s="13"/>
    </row>
    <row r="16" spans="1:13" ht="12.75">
      <c r="A16" s="246" t="s">
        <v>56</v>
      </c>
      <c r="B16" s="272">
        <v>45</v>
      </c>
      <c r="C16" s="273">
        <v>50</v>
      </c>
      <c r="D16" s="269">
        <v>80</v>
      </c>
      <c r="E16" s="270">
        <f t="shared" si="3"/>
        <v>3.6</v>
      </c>
      <c r="F16" s="271">
        <f>ROUND(D16/1000*C16,2)</f>
        <v>4</v>
      </c>
      <c r="G16" s="215">
        <f t="shared" si="1"/>
        <v>31.499999999999996</v>
      </c>
      <c r="H16" s="253">
        <f t="shared" si="2"/>
        <v>35</v>
      </c>
      <c r="I16" s="257">
        <f t="shared" si="4"/>
        <v>2.5199999999999996</v>
      </c>
      <c r="J16" s="258">
        <f t="shared" si="5"/>
        <v>2.8000000000000003</v>
      </c>
      <c r="M16" s="13"/>
    </row>
    <row r="17" spans="1:13" ht="12.75">
      <c r="A17" s="246" t="s">
        <v>57</v>
      </c>
      <c r="B17" s="272">
        <v>15</v>
      </c>
      <c r="C17" s="273">
        <v>20</v>
      </c>
      <c r="D17" s="269">
        <v>43.67</v>
      </c>
      <c r="E17" s="270">
        <f t="shared" si="3"/>
        <v>0.66</v>
      </c>
      <c r="F17" s="271">
        <f t="shared" si="0"/>
        <v>0.87</v>
      </c>
      <c r="G17" s="215">
        <f t="shared" si="1"/>
        <v>10.5</v>
      </c>
      <c r="H17" s="253">
        <f t="shared" si="2"/>
        <v>14</v>
      </c>
      <c r="I17" s="257">
        <f t="shared" si="4"/>
        <v>0.458535</v>
      </c>
      <c r="J17" s="258">
        <f t="shared" si="5"/>
        <v>0.61138</v>
      </c>
      <c r="M17" s="13"/>
    </row>
    <row r="18" spans="1:13" ht="12.75">
      <c r="A18" s="246" t="s">
        <v>58</v>
      </c>
      <c r="B18" s="274">
        <f>250</f>
        <v>250</v>
      </c>
      <c r="C18" s="275">
        <f>250</f>
        <v>250</v>
      </c>
      <c r="D18" s="269">
        <v>30.05</v>
      </c>
      <c r="E18" s="270">
        <f t="shared" si="3"/>
        <v>7.51</v>
      </c>
      <c r="F18" s="271">
        <f t="shared" si="0"/>
        <v>7.51</v>
      </c>
      <c r="G18" s="259">
        <f>B18*0.7-40</f>
        <v>135</v>
      </c>
      <c r="H18" s="260">
        <f>C18*0.7-40</f>
        <v>135</v>
      </c>
      <c r="I18" s="257">
        <f t="shared" si="4"/>
        <v>4.05675</v>
      </c>
      <c r="J18" s="258">
        <f t="shared" si="5"/>
        <v>4.05675</v>
      </c>
      <c r="M18" s="13"/>
    </row>
    <row r="19" spans="1:13" ht="12.75">
      <c r="A19" s="246" t="s">
        <v>59</v>
      </c>
      <c r="B19" s="274">
        <f>350-13.5</f>
        <v>336.5</v>
      </c>
      <c r="C19" s="275">
        <f>400-12</f>
        <v>388</v>
      </c>
      <c r="D19" s="269">
        <v>160</v>
      </c>
      <c r="E19" s="270">
        <f t="shared" si="3"/>
        <v>53.84</v>
      </c>
      <c r="F19" s="271">
        <f t="shared" si="0"/>
        <v>62.08</v>
      </c>
      <c r="G19" s="259">
        <f>B19*0.7-4.74</f>
        <v>230.80999999999997</v>
      </c>
      <c r="H19" s="260">
        <f>C19*0.7-4.89</f>
        <v>266.71</v>
      </c>
      <c r="I19" s="257">
        <f t="shared" si="4"/>
        <v>36.92959999999999</v>
      </c>
      <c r="J19" s="258">
        <f t="shared" si="5"/>
        <v>42.6736</v>
      </c>
      <c r="M19" s="13"/>
    </row>
    <row r="20" spans="1:13" ht="12.75">
      <c r="A20" s="246" t="s">
        <v>60</v>
      </c>
      <c r="B20" s="274">
        <v>200</v>
      </c>
      <c r="C20" s="275">
        <v>200</v>
      </c>
      <c r="D20" s="269">
        <v>140</v>
      </c>
      <c r="E20" s="270">
        <f t="shared" si="3"/>
        <v>28</v>
      </c>
      <c r="F20" s="271">
        <f t="shared" si="0"/>
        <v>28</v>
      </c>
      <c r="G20" s="215">
        <f t="shared" si="1"/>
        <v>140</v>
      </c>
      <c r="H20" s="253">
        <f t="shared" si="2"/>
        <v>140</v>
      </c>
      <c r="I20" s="257">
        <f t="shared" si="4"/>
        <v>19.6</v>
      </c>
      <c r="J20" s="258">
        <f t="shared" si="5"/>
        <v>19.6</v>
      </c>
      <c r="M20" s="13"/>
    </row>
    <row r="21" spans="1:13" ht="15" customHeight="1">
      <c r="A21" s="247" t="s">
        <v>61</v>
      </c>
      <c r="B21" s="272">
        <v>15</v>
      </c>
      <c r="C21" s="273">
        <v>20</v>
      </c>
      <c r="D21" s="269">
        <v>190</v>
      </c>
      <c r="E21" s="270">
        <f t="shared" si="3"/>
        <v>2.85</v>
      </c>
      <c r="F21" s="271">
        <f t="shared" si="0"/>
        <v>3.8</v>
      </c>
      <c r="G21" s="215">
        <f t="shared" si="1"/>
        <v>10.5</v>
      </c>
      <c r="H21" s="253">
        <f t="shared" si="2"/>
        <v>14</v>
      </c>
      <c r="I21" s="257">
        <f t="shared" si="4"/>
        <v>1.995</v>
      </c>
      <c r="J21" s="258">
        <f t="shared" si="5"/>
        <v>2.66</v>
      </c>
      <c r="M21" s="13"/>
    </row>
    <row r="22" spans="1:13" ht="36.75" customHeight="1">
      <c r="A22" s="247" t="s">
        <v>90</v>
      </c>
      <c r="B22" s="272">
        <v>200</v>
      </c>
      <c r="C22" s="273">
        <v>200</v>
      </c>
      <c r="D22" s="269">
        <v>75</v>
      </c>
      <c r="E22" s="270">
        <f t="shared" si="3"/>
        <v>15</v>
      </c>
      <c r="F22" s="271">
        <f t="shared" si="0"/>
        <v>15</v>
      </c>
      <c r="G22" s="215">
        <f t="shared" si="1"/>
        <v>140</v>
      </c>
      <c r="H22" s="253">
        <f t="shared" si="2"/>
        <v>140</v>
      </c>
      <c r="I22" s="257">
        <f t="shared" si="4"/>
        <v>10.5</v>
      </c>
      <c r="J22" s="258">
        <f t="shared" si="5"/>
        <v>10.5</v>
      </c>
      <c r="M22" s="13"/>
    </row>
    <row r="23" spans="1:13" ht="26.25" customHeight="1">
      <c r="A23" s="246" t="s">
        <v>63</v>
      </c>
      <c r="B23" s="274">
        <v>77</v>
      </c>
      <c r="C23" s="275">
        <v>86</v>
      </c>
      <c r="D23" s="269">
        <v>350</v>
      </c>
      <c r="E23" s="270">
        <f t="shared" si="3"/>
        <v>26.95</v>
      </c>
      <c r="F23" s="271">
        <f t="shared" si="0"/>
        <v>30.1</v>
      </c>
      <c r="G23" s="215">
        <f t="shared" si="1"/>
        <v>53.9</v>
      </c>
      <c r="H23" s="253">
        <f t="shared" si="2"/>
        <v>60.199999999999996</v>
      </c>
      <c r="I23" s="257">
        <f t="shared" si="4"/>
        <v>18.865</v>
      </c>
      <c r="J23" s="258">
        <f t="shared" si="5"/>
        <v>21.069999999999997</v>
      </c>
      <c r="M23" s="13"/>
    </row>
    <row r="24" spans="1:13" ht="25.5" customHeight="1">
      <c r="A24" s="246" t="s">
        <v>64</v>
      </c>
      <c r="B24" s="274">
        <v>40</v>
      </c>
      <c r="C24" s="275">
        <v>60</v>
      </c>
      <c r="D24" s="269">
        <v>220</v>
      </c>
      <c r="E24" s="270">
        <f t="shared" si="3"/>
        <v>8.8</v>
      </c>
      <c r="F24" s="271">
        <f t="shared" si="0"/>
        <v>13.2</v>
      </c>
      <c r="G24" s="215">
        <f t="shared" si="1"/>
        <v>28</v>
      </c>
      <c r="H24" s="253">
        <f t="shared" si="2"/>
        <v>42</v>
      </c>
      <c r="I24" s="257">
        <f t="shared" si="4"/>
        <v>6.16</v>
      </c>
      <c r="J24" s="258">
        <f t="shared" si="5"/>
        <v>9.24</v>
      </c>
      <c r="M24" s="13"/>
    </row>
    <row r="25" spans="1:13" ht="12.75">
      <c r="A25" s="246" t="s">
        <v>65</v>
      </c>
      <c r="B25" s="272">
        <v>60</v>
      </c>
      <c r="C25" s="273">
        <v>80</v>
      </c>
      <c r="D25" s="276">
        <v>485</v>
      </c>
      <c r="E25" s="270">
        <f t="shared" si="3"/>
        <v>29.1</v>
      </c>
      <c r="F25" s="271">
        <f t="shared" si="0"/>
        <v>38.8</v>
      </c>
      <c r="G25" s="215">
        <f t="shared" si="1"/>
        <v>42</v>
      </c>
      <c r="H25" s="253">
        <f t="shared" si="2"/>
        <v>56</v>
      </c>
      <c r="I25" s="257">
        <f t="shared" si="4"/>
        <v>20.37</v>
      </c>
      <c r="J25" s="258">
        <f t="shared" si="5"/>
        <v>27.16</v>
      </c>
      <c r="M25" s="13"/>
    </row>
    <row r="26" spans="1:13" ht="14.25" customHeight="1">
      <c r="A26" s="246" t="s">
        <v>66</v>
      </c>
      <c r="B26" s="272">
        <v>15</v>
      </c>
      <c r="C26" s="273">
        <v>20</v>
      </c>
      <c r="D26" s="269">
        <v>400</v>
      </c>
      <c r="E26" s="270">
        <f t="shared" si="3"/>
        <v>6</v>
      </c>
      <c r="F26" s="271">
        <f t="shared" si="0"/>
        <v>8</v>
      </c>
      <c r="G26" s="215">
        <f t="shared" si="1"/>
        <v>10.5</v>
      </c>
      <c r="H26" s="253">
        <f t="shared" si="2"/>
        <v>14</v>
      </c>
      <c r="I26" s="257">
        <f t="shared" si="4"/>
        <v>4.2</v>
      </c>
      <c r="J26" s="258">
        <f t="shared" si="5"/>
        <v>5.6000000000000005</v>
      </c>
      <c r="M26" s="13"/>
    </row>
    <row r="27" spans="1:13" ht="23.25" customHeight="1">
      <c r="A27" s="246" t="s">
        <v>67</v>
      </c>
      <c r="B27" s="272">
        <v>300</v>
      </c>
      <c r="C27" s="273">
        <v>300</v>
      </c>
      <c r="D27" s="269">
        <v>71.94</v>
      </c>
      <c r="E27" s="270">
        <f t="shared" si="3"/>
        <v>21.58</v>
      </c>
      <c r="F27" s="271">
        <f t="shared" si="0"/>
        <v>21.58</v>
      </c>
      <c r="G27" s="215">
        <f t="shared" si="1"/>
        <v>210</v>
      </c>
      <c r="H27" s="253">
        <f t="shared" si="2"/>
        <v>210</v>
      </c>
      <c r="I27" s="257">
        <f t="shared" si="4"/>
        <v>15.1074</v>
      </c>
      <c r="J27" s="258">
        <f t="shared" si="5"/>
        <v>15.1074</v>
      </c>
      <c r="M27" s="13"/>
    </row>
    <row r="28" spans="1:13" ht="25.5">
      <c r="A28" s="246" t="s">
        <v>118</v>
      </c>
      <c r="B28" s="272">
        <v>150</v>
      </c>
      <c r="C28" s="273">
        <v>180</v>
      </c>
      <c r="D28" s="269">
        <v>90</v>
      </c>
      <c r="E28" s="270">
        <f t="shared" si="3"/>
        <v>13.5</v>
      </c>
      <c r="F28" s="271">
        <f t="shared" si="0"/>
        <v>16.2</v>
      </c>
      <c r="G28" s="215">
        <f t="shared" si="1"/>
        <v>105</v>
      </c>
      <c r="H28" s="253">
        <f t="shared" si="2"/>
        <v>125.99999999999999</v>
      </c>
      <c r="I28" s="257">
        <f t="shared" si="4"/>
        <v>9.45</v>
      </c>
      <c r="J28" s="258">
        <f t="shared" si="5"/>
        <v>11.339999999999998</v>
      </c>
      <c r="M28" s="13"/>
    </row>
    <row r="29" spans="1:13" ht="25.5" customHeight="1">
      <c r="A29" s="246" t="s">
        <v>69</v>
      </c>
      <c r="B29" s="272">
        <v>50</v>
      </c>
      <c r="C29" s="273">
        <v>60</v>
      </c>
      <c r="D29" s="276">
        <v>380</v>
      </c>
      <c r="E29" s="270">
        <f t="shared" si="3"/>
        <v>19</v>
      </c>
      <c r="F29" s="271">
        <f t="shared" si="0"/>
        <v>22.8</v>
      </c>
      <c r="G29" s="215">
        <f t="shared" si="1"/>
        <v>35</v>
      </c>
      <c r="H29" s="253">
        <f t="shared" si="2"/>
        <v>42</v>
      </c>
      <c r="I29" s="257">
        <f t="shared" si="4"/>
        <v>13.3</v>
      </c>
      <c r="J29" s="258">
        <f t="shared" si="5"/>
        <v>15.96</v>
      </c>
      <c r="M29" s="13"/>
    </row>
    <row r="30" spans="1:13" ht="12.75" customHeight="1">
      <c r="A30" s="246" t="s">
        <v>70</v>
      </c>
      <c r="B30" s="272">
        <v>10</v>
      </c>
      <c r="C30" s="273">
        <v>12</v>
      </c>
      <c r="D30" s="269">
        <v>650</v>
      </c>
      <c r="E30" s="270">
        <f t="shared" si="3"/>
        <v>6.5</v>
      </c>
      <c r="F30" s="271">
        <f t="shared" si="0"/>
        <v>7.8</v>
      </c>
      <c r="G30" s="215">
        <f t="shared" si="1"/>
        <v>7</v>
      </c>
      <c r="H30" s="253">
        <f t="shared" si="2"/>
        <v>8.399999999999999</v>
      </c>
      <c r="I30" s="257">
        <f t="shared" si="4"/>
        <v>4.55</v>
      </c>
      <c r="J30" s="258">
        <f t="shared" si="5"/>
        <v>5.459999999999999</v>
      </c>
      <c r="M30" s="13"/>
    </row>
    <row r="31" spans="1:13" ht="24" customHeight="1">
      <c r="A31" s="246" t="s">
        <v>6</v>
      </c>
      <c r="B31" s="272">
        <v>10</v>
      </c>
      <c r="C31" s="273">
        <v>10</v>
      </c>
      <c r="D31" s="269">
        <v>270</v>
      </c>
      <c r="E31" s="270">
        <f t="shared" si="3"/>
        <v>2.7</v>
      </c>
      <c r="F31" s="271">
        <f t="shared" si="0"/>
        <v>2.7</v>
      </c>
      <c r="G31" s="215">
        <f t="shared" si="1"/>
        <v>7</v>
      </c>
      <c r="H31" s="253">
        <f t="shared" si="2"/>
        <v>7</v>
      </c>
      <c r="I31" s="257">
        <f t="shared" si="4"/>
        <v>1.8900000000000001</v>
      </c>
      <c r="J31" s="258">
        <f t="shared" si="5"/>
        <v>1.8900000000000001</v>
      </c>
      <c r="M31" s="13"/>
    </row>
    <row r="32" spans="1:13" ht="12.75">
      <c r="A32" s="246" t="s">
        <v>71</v>
      </c>
      <c r="B32" s="272">
        <v>30</v>
      </c>
      <c r="C32" s="273">
        <v>35</v>
      </c>
      <c r="D32" s="276">
        <v>598</v>
      </c>
      <c r="E32" s="270">
        <f t="shared" si="3"/>
        <v>17.94</v>
      </c>
      <c r="F32" s="271">
        <f t="shared" si="0"/>
        <v>20.93</v>
      </c>
      <c r="G32" s="215">
        <f t="shared" si="1"/>
        <v>21</v>
      </c>
      <c r="H32" s="253">
        <f t="shared" si="2"/>
        <v>24.5</v>
      </c>
      <c r="I32" s="257">
        <f t="shared" si="4"/>
        <v>12.558</v>
      </c>
      <c r="J32" s="258">
        <f t="shared" si="5"/>
        <v>14.651</v>
      </c>
      <c r="M32" s="13"/>
    </row>
    <row r="33" spans="1:13" ht="12.75">
      <c r="A33" s="246" t="s">
        <v>72</v>
      </c>
      <c r="B33" s="272">
        <v>15</v>
      </c>
      <c r="C33" s="273">
        <v>18</v>
      </c>
      <c r="D33" s="269">
        <v>110</v>
      </c>
      <c r="E33" s="270">
        <f t="shared" si="3"/>
        <v>1.65</v>
      </c>
      <c r="F33" s="271">
        <f t="shared" si="0"/>
        <v>1.98</v>
      </c>
      <c r="G33" s="215">
        <f t="shared" si="1"/>
        <v>10.5</v>
      </c>
      <c r="H33" s="253">
        <f t="shared" si="2"/>
        <v>12.6</v>
      </c>
      <c r="I33" s="257">
        <f t="shared" si="4"/>
        <v>1.155</v>
      </c>
      <c r="J33" s="258">
        <f t="shared" si="5"/>
        <v>1.386</v>
      </c>
      <c r="M33" s="13"/>
    </row>
    <row r="34" spans="1:13" ht="15" customHeight="1">
      <c r="A34" s="246" t="s">
        <v>73</v>
      </c>
      <c r="B34" s="272" t="s">
        <v>7</v>
      </c>
      <c r="C34" s="273" t="s">
        <v>7</v>
      </c>
      <c r="D34" s="277">
        <v>6.55</v>
      </c>
      <c r="E34" s="278">
        <f>D34*1</f>
        <v>6.55</v>
      </c>
      <c r="F34" s="279">
        <f>E34*1</f>
        <v>6.55</v>
      </c>
      <c r="G34" s="215" t="s">
        <v>7</v>
      </c>
      <c r="H34" s="178" t="s">
        <v>7</v>
      </c>
      <c r="I34" s="257">
        <f>D34</f>
        <v>6.55</v>
      </c>
      <c r="J34" s="258">
        <f>F34</f>
        <v>6.55</v>
      </c>
      <c r="M34" s="13"/>
    </row>
    <row r="35" spans="1:13" ht="12.75">
      <c r="A35" s="246" t="s">
        <v>35</v>
      </c>
      <c r="B35" s="272">
        <v>40</v>
      </c>
      <c r="C35" s="273">
        <v>45</v>
      </c>
      <c r="D35" s="269">
        <v>53.38</v>
      </c>
      <c r="E35" s="270">
        <f>ROUND(D35/1000*B35,2)</f>
        <v>2.14</v>
      </c>
      <c r="F35" s="271">
        <f t="shared" si="0"/>
        <v>2.4</v>
      </c>
      <c r="G35" s="215">
        <f t="shared" si="1"/>
        <v>28</v>
      </c>
      <c r="H35" s="253">
        <f t="shared" si="2"/>
        <v>31.499999999999996</v>
      </c>
      <c r="I35" s="257">
        <f t="shared" si="4"/>
        <v>1.4946400000000002</v>
      </c>
      <c r="J35" s="258">
        <f t="shared" si="5"/>
        <v>1.68147</v>
      </c>
      <c r="M35" s="13"/>
    </row>
    <row r="36" spans="1:13" ht="12.75">
      <c r="A36" s="246" t="s">
        <v>75</v>
      </c>
      <c r="B36" s="272">
        <v>10</v>
      </c>
      <c r="C36" s="273">
        <v>15</v>
      </c>
      <c r="D36" s="269">
        <v>290</v>
      </c>
      <c r="E36" s="270">
        <f>ROUND(D36/1000*B36,2)</f>
        <v>2.9</v>
      </c>
      <c r="F36" s="271">
        <f t="shared" si="0"/>
        <v>4.35</v>
      </c>
      <c r="G36" s="215">
        <f t="shared" si="1"/>
        <v>7</v>
      </c>
      <c r="H36" s="253">
        <f t="shared" si="2"/>
        <v>10.5</v>
      </c>
      <c r="I36" s="257">
        <f t="shared" si="4"/>
        <v>2.03</v>
      </c>
      <c r="J36" s="258">
        <f t="shared" si="5"/>
        <v>3.045</v>
      </c>
      <c r="M36" s="13"/>
    </row>
    <row r="37" spans="1:13" ht="12.75">
      <c r="A37" s="246" t="s">
        <v>76</v>
      </c>
      <c r="B37" s="272">
        <v>0.4</v>
      </c>
      <c r="C37" s="273">
        <v>0.4</v>
      </c>
      <c r="D37" s="269">
        <v>660</v>
      </c>
      <c r="E37" s="270">
        <f t="shared" si="3"/>
        <v>0.26</v>
      </c>
      <c r="F37" s="271">
        <f t="shared" si="0"/>
        <v>0.26</v>
      </c>
      <c r="G37" s="215">
        <f t="shared" si="1"/>
        <v>0.27999999999999997</v>
      </c>
      <c r="H37" s="253">
        <f t="shared" si="2"/>
        <v>0.27999999999999997</v>
      </c>
      <c r="I37" s="257">
        <f t="shared" si="4"/>
        <v>0.1848</v>
      </c>
      <c r="J37" s="258">
        <f t="shared" si="5"/>
        <v>0.1848</v>
      </c>
      <c r="M37" s="13"/>
    </row>
    <row r="38" spans="1:13" ht="12.75">
      <c r="A38" s="246" t="s">
        <v>8</v>
      </c>
      <c r="B38" s="272">
        <v>1.2</v>
      </c>
      <c r="C38" s="273">
        <v>1.2</v>
      </c>
      <c r="D38" s="269">
        <v>850</v>
      </c>
      <c r="E38" s="270">
        <f>ROUND(D38/1000*B38,2)</f>
        <v>1.02</v>
      </c>
      <c r="F38" s="271">
        <f t="shared" si="0"/>
        <v>1.02</v>
      </c>
      <c r="G38" s="215">
        <f t="shared" si="1"/>
        <v>0.84</v>
      </c>
      <c r="H38" s="253">
        <f t="shared" si="2"/>
        <v>0.84</v>
      </c>
      <c r="I38" s="257">
        <f t="shared" si="4"/>
        <v>0.714</v>
      </c>
      <c r="J38" s="258">
        <f t="shared" si="5"/>
        <v>0.714</v>
      </c>
      <c r="M38" s="13"/>
    </row>
    <row r="39" spans="1:13" ht="12.75">
      <c r="A39" s="246" t="s">
        <v>78</v>
      </c>
      <c r="B39" s="272">
        <v>1</v>
      </c>
      <c r="C39" s="273">
        <v>2</v>
      </c>
      <c r="D39" s="269">
        <v>1600</v>
      </c>
      <c r="E39" s="270">
        <f t="shared" si="3"/>
        <v>1.6</v>
      </c>
      <c r="F39" s="271">
        <f t="shared" si="0"/>
        <v>3.2</v>
      </c>
      <c r="G39" s="215">
        <f t="shared" si="1"/>
        <v>0.7</v>
      </c>
      <c r="H39" s="253">
        <f t="shared" si="2"/>
        <v>1.4</v>
      </c>
      <c r="I39" s="257">
        <f t="shared" si="4"/>
        <v>1.1199999999999999</v>
      </c>
      <c r="J39" s="258">
        <f t="shared" si="5"/>
        <v>2.2399999999999998</v>
      </c>
      <c r="M39" s="13"/>
    </row>
    <row r="40" spans="1:13" ht="15.75" customHeight="1" thickBot="1">
      <c r="A40" s="246" t="s">
        <v>79</v>
      </c>
      <c r="B40" s="280">
        <v>5</v>
      </c>
      <c r="C40" s="281">
        <v>7</v>
      </c>
      <c r="D40" s="269">
        <v>19.76</v>
      </c>
      <c r="E40" s="270">
        <f t="shared" si="3"/>
        <v>0.1</v>
      </c>
      <c r="F40" s="271">
        <f t="shared" si="0"/>
        <v>0.14</v>
      </c>
      <c r="G40" s="215">
        <f t="shared" si="1"/>
        <v>3.5</v>
      </c>
      <c r="H40" s="253">
        <f t="shared" si="2"/>
        <v>4.8999999999999995</v>
      </c>
      <c r="I40" s="257">
        <f t="shared" si="4"/>
        <v>0.06916000000000001</v>
      </c>
      <c r="J40" s="258">
        <f t="shared" si="5"/>
        <v>0.09682400000000001</v>
      </c>
      <c r="M40" s="13"/>
    </row>
    <row r="41" spans="1:13" ht="22.5" customHeight="1" thickBot="1">
      <c r="A41" s="164" t="s">
        <v>10</v>
      </c>
      <c r="B41" s="165"/>
      <c r="C41" s="166"/>
      <c r="D41" s="252">
        <f>(E41+F41)/2</f>
        <v>314.81499999999994</v>
      </c>
      <c r="E41" s="167">
        <f>SUM(E13:E40)</f>
        <v>290.9</v>
      </c>
      <c r="F41" s="167">
        <f>SUM(F13:F40)</f>
        <v>338.72999999999996</v>
      </c>
      <c r="G41" s="165"/>
      <c r="H41" s="166"/>
      <c r="I41" s="261">
        <f>SUM(I13:I40)</f>
        <v>203.632955</v>
      </c>
      <c r="J41" s="262">
        <f>SUM(J13:J40)</f>
        <v>237.105824</v>
      </c>
      <c r="L41" s="254">
        <f>(I41+J41)/2</f>
        <v>220.3693895</v>
      </c>
      <c r="M41" s="13"/>
    </row>
    <row r="42" spans="1:13" ht="37.5" customHeight="1">
      <c r="A42" s="35" t="s">
        <v>11</v>
      </c>
      <c r="B42" s="24"/>
      <c r="C42" s="25"/>
      <c r="D42" s="32"/>
      <c r="E42" s="34"/>
      <c r="F42" s="26"/>
      <c r="G42" s="24"/>
      <c r="H42" s="32"/>
      <c r="I42" s="34"/>
      <c r="J42" s="26"/>
      <c r="K42" s="13"/>
      <c r="L42" s="13"/>
      <c r="M42" s="13"/>
    </row>
    <row r="43" spans="1:10" ht="25.5" customHeight="1">
      <c r="A43" s="36" t="s">
        <v>12</v>
      </c>
      <c r="B43" s="27"/>
      <c r="C43" s="23"/>
      <c r="D43" s="31"/>
      <c r="E43" s="152">
        <f>E41*1.5</f>
        <v>436.34999999999997</v>
      </c>
      <c r="F43" s="151">
        <f>F41*1.5</f>
        <v>508.0949999999999</v>
      </c>
      <c r="G43" s="150"/>
      <c r="H43" s="168"/>
      <c r="I43" s="152">
        <f>I41*1.5</f>
        <v>305.4494325</v>
      </c>
      <c r="J43" s="151">
        <f>J41*1.5</f>
        <v>355.65873600000003</v>
      </c>
    </row>
    <row r="44" spans="1:10" ht="38.25" customHeight="1" thickBot="1">
      <c r="A44" s="37" t="s">
        <v>190</v>
      </c>
      <c r="B44" s="28"/>
      <c r="C44" s="29"/>
      <c r="D44" s="33"/>
      <c r="E44" s="169">
        <f>E41*2</f>
        <v>581.8</v>
      </c>
      <c r="F44" s="170">
        <f>F41*2</f>
        <v>677.4599999999999</v>
      </c>
      <c r="G44" s="171"/>
      <c r="H44" s="172"/>
      <c r="I44" s="169">
        <f>I41*2</f>
        <v>407.26591</v>
      </c>
      <c r="J44" s="170">
        <f>J41*2</f>
        <v>474.211648</v>
      </c>
    </row>
    <row r="45" ht="12.75">
      <c r="A45" s="20"/>
    </row>
    <row r="46" spans="1:11" ht="12.75">
      <c r="A46" s="20"/>
      <c r="D46" s="9">
        <v>2017</v>
      </c>
      <c r="E46" s="44">
        <f>(E41+F41)/2</f>
        <v>314.81499999999994</v>
      </c>
      <c r="I46" s="14"/>
      <c r="J46" s="14"/>
      <c r="K46" s="13"/>
    </row>
    <row r="47" spans="4:11" ht="12.75">
      <c r="D47" s="63">
        <v>2016</v>
      </c>
      <c r="E47" s="44">
        <v>279.83</v>
      </c>
      <c r="I47" s="21"/>
      <c r="J47" s="21"/>
      <c r="K47" s="13"/>
    </row>
    <row r="48" spans="4:10" ht="12.75">
      <c r="D48" s="63" t="s">
        <v>111</v>
      </c>
      <c r="E48" s="98">
        <f>E46/E47*100-100</f>
        <v>12.502233498910044</v>
      </c>
      <c r="F48" s="22"/>
      <c r="I48" s="22"/>
      <c r="J48" s="22"/>
    </row>
    <row r="49" spans="4:5" ht="12.75">
      <c r="D49" s="63" t="s">
        <v>112</v>
      </c>
      <c r="E49" s="97">
        <f>E46-E47</f>
        <v>34.98499999999996</v>
      </c>
    </row>
  </sheetData>
  <sheetProtection/>
  <mergeCells count="14">
    <mergeCell ref="D2:F2"/>
    <mergeCell ref="D3:F3"/>
    <mergeCell ref="D4:F4"/>
    <mergeCell ref="D5:F5"/>
    <mergeCell ref="G2:J2"/>
    <mergeCell ref="H1:J1"/>
    <mergeCell ref="A8:J8"/>
    <mergeCell ref="A9:J9"/>
    <mergeCell ref="A11:A12"/>
    <mergeCell ref="B11:C11"/>
    <mergeCell ref="D11:D12"/>
    <mergeCell ref="E11:F11"/>
    <mergeCell ref="G11:H11"/>
    <mergeCell ref="I11:J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M52"/>
  <sheetViews>
    <sheetView view="pageBreakPreview" zoomScaleSheetLayoutView="100" zoomScalePageLayoutView="0" workbookViewId="0" topLeftCell="A34">
      <selection activeCell="N40" sqref="N40"/>
    </sheetView>
  </sheetViews>
  <sheetFormatPr defaultColWidth="9.140625" defaultRowHeight="12.75"/>
  <cols>
    <col min="1" max="1" width="31.7109375" style="9" customWidth="1"/>
    <col min="2" max="2" width="8.57421875" style="9" customWidth="1"/>
    <col min="3" max="3" width="9.00390625" style="9" customWidth="1"/>
    <col min="4" max="4" width="9.57421875" style="9" customWidth="1"/>
    <col min="5" max="6" width="9.140625" style="9" customWidth="1"/>
    <col min="7" max="7" width="8.140625" style="9" customWidth="1"/>
    <col min="8" max="8" width="8.28125" style="9" customWidth="1"/>
    <col min="9" max="10" width="9.140625" style="9" customWidth="1"/>
    <col min="11" max="16384" width="9.140625" style="9" customWidth="1"/>
  </cols>
  <sheetData>
    <row r="1" spans="1:10" ht="12.75">
      <c r="A1" s="13"/>
      <c r="B1" s="146"/>
      <c r="C1" s="146"/>
      <c r="D1" s="13"/>
      <c r="E1" s="13"/>
      <c r="F1" s="13"/>
      <c r="G1" s="13"/>
      <c r="H1" s="386" t="s">
        <v>178</v>
      </c>
      <c r="I1" s="386"/>
      <c r="J1" s="386"/>
    </row>
    <row r="2" spans="1:10" ht="12.75">
      <c r="A2" s="158"/>
      <c r="D2" s="372"/>
      <c r="E2" s="372"/>
      <c r="F2" s="372"/>
      <c r="G2" s="372" t="s">
        <v>146</v>
      </c>
      <c r="H2" s="372"/>
      <c r="I2" s="372"/>
      <c r="J2" s="372"/>
    </row>
    <row r="3" spans="4:10" ht="12.75">
      <c r="D3" s="373"/>
      <c r="E3" s="373"/>
      <c r="F3" s="373"/>
      <c r="G3" s="154" t="s">
        <v>147</v>
      </c>
      <c r="H3" s="154"/>
      <c r="I3" s="160"/>
      <c r="J3" s="160"/>
    </row>
    <row r="4" spans="4:10" ht="12.75">
      <c r="D4" s="373"/>
      <c r="E4" s="373"/>
      <c r="F4" s="373"/>
      <c r="G4" s="154" t="s">
        <v>148</v>
      </c>
      <c r="H4" s="154"/>
      <c r="I4" s="160"/>
      <c r="J4" s="160"/>
    </row>
    <row r="5" spans="4:10" ht="17.25" customHeight="1">
      <c r="D5" s="373"/>
      <c r="E5" s="373"/>
      <c r="F5" s="373"/>
      <c r="G5" s="154" t="s">
        <v>243</v>
      </c>
      <c r="H5" s="154"/>
      <c r="I5" s="160"/>
      <c r="J5" s="160"/>
    </row>
    <row r="6" spans="1:10" ht="12.75">
      <c r="A6" s="13"/>
      <c r="B6" s="146"/>
      <c r="C6" s="146"/>
      <c r="D6" s="13"/>
      <c r="E6" s="13"/>
      <c r="F6" s="13"/>
      <c r="G6" s="13"/>
      <c r="H6" s="153"/>
      <c r="I6" s="153"/>
      <c r="J6" s="153"/>
    </row>
    <row r="7" spans="1:10" ht="12.75">
      <c r="A7" s="13"/>
      <c r="B7" s="13"/>
      <c r="C7" s="13"/>
      <c r="D7" s="13"/>
      <c r="E7" s="13"/>
      <c r="F7" s="13"/>
      <c r="G7" s="13"/>
      <c r="H7" s="13"/>
      <c r="I7" s="13"/>
      <c r="J7" s="13"/>
    </row>
    <row r="8" spans="1:10" ht="48.75" customHeight="1">
      <c r="A8" s="419" t="s">
        <v>200</v>
      </c>
      <c r="B8" s="419"/>
      <c r="C8" s="419"/>
      <c r="D8" s="419"/>
      <c r="E8" s="419"/>
      <c r="F8" s="419"/>
      <c r="G8" s="419"/>
      <c r="H8" s="419"/>
      <c r="I8" s="419"/>
      <c r="J8" s="419"/>
    </row>
    <row r="9" spans="1:10" ht="15.75" customHeight="1">
      <c r="A9" s="420" t="s">
        <v>246</v>
      </c>
      <c r="B9" s="420"/>
      <c r="C9" s="420"/>
      <c r="D9" s="420"/>
      <c r="E9" s="420"/>
      <c r="F9" s="420"/>
      <c r="G9" s="420"/>
      <c r="H9" s="420"/>
      <c r="I9" s="420"/>
      <c r="J9" s="420"/>
    </row>
    <row r="10" spans="1:10" ht="15.75" customHeight="1" thickBot="1">
      <c r="A10" s="147"/>
      <c r="B10" s="147"/>
      <c r="C10" s="147"/>
      <c r="D10" s="147"/>
      <c r="E10" s="147"/>
      <c r="F10" s="147"/>
      <c r="G10" s="147"/>
      <c r="H10" s="147"/>
      <c r="I10" s="147"/>
      <c r="J10" s="147"/>
    </row>
    <row r="11" spans="1:10" ht="75" customHeight="1">
      <c r="A11" s="421"/>
      <c r="B11" s="427" t="s">
        <v>41</v>
      </c>
      <c r="C11" s="428"/>
      <c r="D11" s="431" t="s">
        <v>0</v>
      </c>
      <c r="E11" s="427" t="s">
        <v>42</v>
      </c>
      <c r="F11" s="428"/>
      <c r="G11" s="427" t="s">
        <v>43</v>
      </c>
      <c r="H11" s="428"/>
      <c r="I11" s="429" t="s">
        <v>44</v>
      </c>
      <c r="J11" s="430"/>
    </row>
    <row r="12" spans="1:10" ht="24.75" thickBot="1">
      <c r="A12" s="422"/>
      <c r="B12" s="148" t="s">
        <v>229</v>
      </c>
      <c r="C12" s="139" t="s">
        <v>241</v>
      </c>
      <c r="D12" s="432"/>
      <c r="E12" s="138" t="s">
        <v>229</v>
      </c>
      <c r="F12" s="149" t="s">
        <v>241</v>
      </c>
      <c r="G12" s="148" t="s">
        <v>229</v>
      </c>
      <c r="H12" s="139" t="s">
        <v>242</v>
      </c>
      <c r="I12" s="148" t="s">
        <v>229</v>
      </c>
      <c r="J12" s="149" t="s">
        <v>241</v>
      </c>
    </row>
    <row r="13" spans="1:13" ht="15" customHeight="1">
      <c r="A13" s="288" t="s">
        <v>53</v>
      </c>
      <c r="B13" s="132">
        <v>80</v>
      </c>
      <c r="C13" s="132">
        <v>120</v>
      </c>
      <c r="D13" s="285">
        <v>45</v>
      </c>
      <c r="E13" s="150">
        <f>ROUND(D13/1000*B13,2)</f>
        <v>3.6</v>
      </c>
      <c r="F13" s="151">
        <f>ROUND(D13/1000*C13,2)</f>
        <v>5.4</v>
      </c>
      <c r="G13" s="215">
        <f>B13*0.7</f>
        <v>56</v>
      </c>
      <c r="H13" s="253">
        <f>C13*0.7</f>
        <v>84</v>
      </c>
      <c r="I13" s="290">
        <f>D13/1000*G13</f>
        <v>2.52</v>
      </c>
      <c r="J13" s="291">
        <f>D13/1000*H13</f>
        <v>3.78</v>
      </c>
      <c r="M13" s="13"/>
    </row>
    <row r="14" spans="1:13" ht="12.75">
      <c r="A14" s="288" t="s">
        <v>54</v>
      </c>
      <c r="B14" s="132">
        <v>150</v>
      </c>
      <c r="C14" s="132">
        <v>200</v>
      </c>
      <c r="D14" s="285">
        <v>46</v>
      </c>
      <c r="E14" s="150">
        <f>ROUND(D14/1000*B14,2)</f>
        <v>6.9</v>
      </c>
      <c r="F14" s="151">
        <f aca="true" t="shared" si="0" ref="F14:F43">ROUND(D14/1000*C14,2)</f>
        <v>9.2</v>
      </c>
      <c r="G14" s="215">
        <f aca="true" t="shared" si="1" ref="G14:H33">B14*0.7</f>
        <v>105</v>
      </c>
      <c r="H14" s="253">
        <f t="shared" si="1"/>
        <v>140</v>
      </c>
      <c r="I14" s="152">
        <f>D14/1000*G14</f>
        <v>4.83</v>
      </c>
      <c r="J14" s="151">
        <f>D14/1000*H14</f>
        <v>6.4399999999999995</v>
      </c>
      <c r="M14" s="13"/>
    </row>
    <row r="15" spans="1:13" ht="12.75">
      <c r="A15" s="288" t="s">
        <v>55</v>
      </c>
      <c r="B15" s="132">
        <v>15</v>
      </c>
      <c r="C15" s="132">
        <v>20</v>
      </c>
      <c r="D15" s="285">
        <v>38.9</v>
      </c>
      <c r="E15" s="150">
        <f aca="true" t="shared" si="2" ref="E15:E43">ROUND(D15/1000*B15,2)</f>
        <v>0.58</v>
      </c>
      <c r="F15" s="151">
        <f t="shared" si="0"/>
        <v>0.78</v>
      </c>
      <c r="G15" s="215">
        <f t="shared" si="1"/>
        <v>10.5</v>
      </c>
      <c r="H15" s="253">
        <f t="shared" si="1"/>
        <v>14</v>
      </c>
      <c r="I15" s="152">
        <f aca="true" t="shared" si="3" ref="I15:I43">D15/1000*G15</f>
        <v>0.40845</v>
      </c>
      <c r="J15" s="151">
        <f aca="true" t="shared" si="4" ref="J15:J43">D15/1000*H15</f>
        <v>0.5446</v>
      </c>
      <c r="M15" s="13"/>
    </row>
    <row r="16" spans="1:13" ht="12.75">
      <c r="A16" s="288" t="s">
        <v>56</v>
      </c>
      <c r="B16" s="132">
        <v>45</v>
      </c>
      <c r="C16" s="132">
        <v>50</v>
      </c>
      <c r="D16" s="285">
        <v>73.5</v>
      </c>
      <c r="E16" s="150">
        <f t="shared" si="2"/>
        <v>3.31</v>
      </c>
      <c r="F16" s="151">
        <f>ROUND(D16/1000*C16,2)</f>
        <v>3.68</v>
      </c>
      <c r="G16" s="215">
        <f t="shared" si="1"/>
        <v>31.499999999999996</v>
      </c>
      <c r="H16" s="253">
        <f t="shared" si="1"/>
        <v>35</v>
      </c>
      <c r="I16" s="152">
        <f t="shared" si="3"/>
        <v>2.31525</v>
      </c>
      <c r="J16" s="151">
        <f t="shared" si="4"/>
        <v>2.5725</v>
      </c>
      <c r="M16" s="13"/>
    </row>
    <row r="17" spans="1:13" ht="12.75">
      <c r="A17" s="288" t="s">
        <v>57</v>
      </c>
      <c r="B17" s="132">
        <v>15</v>
      </c>
      <c r="C17" s="132">
        <v>20</v>
      </c>
      <c r="D17" s="285">
        <v>48</v>
      </c>
      <c r="E17" s="150">
        <f t="shared" si="2"/>
        <v>0.72</v>
      </c>
      <c r="F17" s="151">
        <f t="shared" si="0"/>
        <v>0.96</v>
      </c>
      <c r="G17" s="215">
        <f t="shared" si="1"/>
        <v>10.5</v>
      </c>
      <c r="H17" s="253">
        <f t="shared" si="1"/>
        <v>14</v>
      </c>
      <c r="I17" s="152">
        <f t="shared" si="3"/>
        <v>0.504</v>
      </c>
      <c r="J17" s="151">
        <f t="shared" si="4"/>
        <v>0.672</v>
      </c>
      <c r="M17" s="13"/>
    </row>
    <row r="18" spans="1:13" ht="12.75">
      <c r="A18" s="288" t="s">
        <v>58</v>
      </c>
      <c r="B18" s="132">
        <v>179.3</v>
      </c>
      <c r="C18" s="132">
        <v>185.3</v>
      </c>
      <c r="D18" s="285">
        <v>45</v>
      </c>
      <c r="E18" s="150">
        <f t="shared" si="2"/>
        <v>8.07</v>
      </c>
      <c r="F18" s="151">
        <f t="shared" si="0"/>
        <v>8.34</v>
      </c>
      <c r="G18" s="308">
        <v>125.9</v>
      </c>
      <c r="H18" s="294">
        <v>130.2</v>
      </c>
      <c r="I18" s="152">
        <f t="shared" si="3"/>
        <v>5.6655</v>
      </c>
      <c r="J18" s="151">
        <f t="shared" si="4"/>
        <v>5.858999999999999</v>
      </c>
      <c r="M18" s="13"/>
    </row>
    <row r="19" spans="1:13" ht="76.5">
      <c r="A19" s="66" t="s">
        <v>217</v>
      </c>
      <c r="B19" s="132">
        <v>280</v>
      </c>
      <c r="C19" s="132">
        <v>320</v>
      </c>
      <c r="D19" s="285">
        <v>142.58</v>
      </c>
      <c r="E19" s="318">
        <f t="shared" si="2"/>
        <v>39.92</v>
      </c>
      <c r="F19" s="319">
        <f t="shared" si="0"/>
        <v>45.63</v>
      </c>
      <c r="G19" s="320">
        <f t="shared" si="1"/>
        <v>196</v>
      </c>
      <c r="H19" s="321">
        <f t="shared" si="1"/>
        <v>224</v>
      </c>
      <c r="I19" s="322">
        <f t="shared" si="3"/>
        <v>27.945680000000003</v>
      </c>
      <c r="J19" s="319">
        <f t="shared" si="4"/>
        <v>31.937920000000002</v>
      </c>
      <c r="M19" s="13"/>
    </row>
    <row r="20" spans="1:13" ht="12.75">
      <c r="A20" s="288" t="s">
        <v>231</v>
      </c>
      <c r="B20" s="132">
        <v>185</v>
      </c>
      <c r="C20" s="132">
        <v>185</v>
      </c>
      <c r="D20" s="285">
        <v>145</v>
      </c>
      <c r="E20" s="150">
        <f t="shared" si="2"/>
        <v>26.83</v>
      </c>
      <c r="F20" s="151">
        <f t="shared" si="0"/>
        <v>26.83</v>
      </c>
      <c r="G20" s="215">
        <f t="shared" si="1"/>
        <v>129.5</v>
      </c>
      <c r="H20" s="253">
        <f t="shared" si="1"/>
        <v>129.5</v>
      </c>
      <c r="I20" s="152">
        <f t="shared" si="3"/>
        <v>18.7775</v>
      </c>
      <c r="J20" s="151">
        <f t="shared" si="4"/>
        <v>18.7775</v>
      </c>
      <c r="M20" s="13"/>
    </row>
    <row r="21" spans="1:13" ht="15" customHeight="1">
      <c r="A21" s="289" t="s">
        <v>219</v>
      </c>
      <c r="B21" s="132">
        <v>15</v>
      </c>
      <c r="C21" s="132">
        <v>20</v>
      </c>
      <c r="D21" s="285">
        <v>190</v>
      </c>
      <c r="E21" s="150">
        <f t="shared" si="2"/>
        <v>2.85</v>
      </c>
      <c r="F21" s="151">
        <f t="shared" si="0"/>
        <v>3.8</v>
      </c>
      <c r="G21" s="215">
        <f t="shared" si="1"/>
        <v>10.5</v>
      </c>
      <c r="H21" s="253">
        <f t="shared" si="1"/>
        <v>14</v>
      </c>
      <c r="I21" s="152">
        <f t="shared" si="3"/>
        <v>1.995</v>
      </c>
      <c r="J21" s="151">
        <f t="shared" si="4"/>
        <v>2.66</v>
      </c>
      <c r="M21" s="13"/>
    </row>
    <row r="22" spans="1:13" ht="27.75" customHeight="1">
      <c r="A22" s="289" t="s">
        <v>90</v>
      </c>
      <c r="B22" s="132">
        <v>200</v>
      </c>
      <c r="C22" s="132">
        <v>200</v>
      </c>
      <c r="D22" s="285">
        <v>120</v>
      </c>
      <c r="E22" s="150">
        <f t="shared" si="2"/>
        <v>24</v>
      </c>
      <c r="F22" s="151">
        <f t="shared" si="0"/>
        <v>24</v>
      </c>
      <c r="G22" s="215">
        <f t="shared" si="1"/>
        <v>140</v>
      </c>
      <c r="H22" s="253">
        <f t="shared" si="1"/>
        <v>140</v>
      </c>
      <c r="I22" s="152">
        <f t="shared" si="3"/>
        <v>16.8</v>
      </c>
      <c r="J22" s="151">
        <f t="shared" si="4"/>
        <v>16.8</v>
      </c>
      <c r="M22" s="13"/>
    </row>
    <row r="23" spans="1:13" ht="15" customHeight="1">
      <c r="A23" s="288" t="s">
        <v>232</v>
      </c>
      <c r="B23" s="132">
        <v>70</v>
      </c>
      <c r="C23" s="132">
        <v>78</v>
      </c>
      <c r="D23" s="285">
        <v>310</v>
      </c>
      <c r="E23" s="150">
        <f t="shared" si="2"/>
        <v>21.7</v>
      </c>
      <c r="F23" s="151">
        <f t="shared" si="0"/>
        <v>24.18</v>
      </c>
      <c r="G23" s="215">
        <f t="shared" si="1"/>
        <v>49</v>
      </c>
      <c r="H23" s="253">
        <f t="shared" si="1"/>
        <v>54.599999999999994</v>
      </c>
      <c r="I23" s="152">
        <f t="shared" si="3"/>
        <v>15.19</v>
      </c>
      <c r="J23" s="151">
        <f t="shared" si="4"/>
        <v>16.926</v>
      </c>
      <c r="M23" s="13"/>
    </row>
    <row r="24" spans="1:13" ht="18" customHeight="1">
      <c r="A24" s="288" t="s">
        <v>228</v>
      </c>
      <c r="B24" s="132">
        <v>30</v>
      </c>
      <c r="C24" s="132">
        <v>40</v>
      </c>
      <c r="D24" s="285">
        <v>328</v>
      </c>
      <c r="E24" s="150">
        <f t="shared" si="2"/>
        <v>9.84</v>
      </c>
      <c r="F24" s="151">
        <f t="shared" si="0"/>
        <v>13.12</v>
      </c>
      <c r="G24" s="215">
        <f t="shared" si="1"/>
        <v>21</v>
      </c>
      <c r="H24" s="253">
        <f t="shared" si="1"/>
        <v>28</v>
      </c>
      <c r="I24" s="152">
        <f t="shared" si="3"/>
        <v>6.888</v>
      </c>
      <c r="J24" s="151">
        <f t="shared" si="4"/>
        <v>9.184000000000001</v>
      </c>
      <c r="M24" s="13"/>
    </row>
    <row r="25" spans="1:13" ht="25.5">
      <c r="A25" s="288" t="s">
        <v>233</v>
      </c>
      <c r="B25" s="132">
        <v>35</v>
      </c>
      <c r="C25" s="132">
        <v>53</v>
      </c>
      <c r="D25" s="132">
        <v>260</v>
      </c>
      <c r="E25" s="150">
        <f t="shared" si="2"/>
        <v>9.1</v>
      </c>
      <c r="F25" s="151">
        <f t="shared" si="0"/>
        <v>13.78</v>
      </c>
      <c r="G25" s="215">
        <f t="shared" si="1"/>
        <v>24.5</v>
      </c>
      <c r="H25" s="253">
        <f t="shared" si="1"/>
        <v>37.099999999999994</v>
      </c>
      <c r="I25" s="152">
        <f t="shared" si="3"/>
        <v>6.37</v>
      </c>
      <c r="J25" s="151">
        <f t="shared" si="4"/>
        <v>9.645999999999999</v>
      </c>
      <c r="M25" s="13"/>
    </row>
    <row r="26" spans="1:13" ht="14.25" customHeight="1">
      <c r="A26" s="288" t="s">
        <v>215</v>
      </c>
      <c r="B26" s="132">
        <v>58</v>
      </c>
      <c r="C26" s="132">
        <v>77</v>
      </c>
      <c r="D26" s="132">
        <v>340</v>
      </c>
      <c r="E26" s="150">
        <f t="shared" si="2"/>
        <v>19.72</v>
      </c>
      <c r="F26" s="151">
        <f t="shared" si="0"/>
        <v>26.18</v>
      </c>
      <c r="G26" s="215">
        <f t="shared" si="1"/>
        <v>40.599999999999994</v>
      </c>
      <c r="H26" s="253">
        <f t="shared" si="1"/>
        <v>53.9</v>
      </c>
      <c r="I26" s="152">
        <f t="shared" si="3"/>
        <v>13.803999999999998</v>
      </c>
      <c r="J26" s="151">
        <f t="shared" si="4"/>
        <v>18.326</v>
      </c>
      <c r="M26" s="13"/>
    </row>
    <row r="27" spans="1:13" ht="15" customHeight="1">
      <c r="A27" s="288" t="s">
        <v>234</v>
      </c>
      <c r="B27" s="287">
        <v>300</v>
      </c>
      <c r="C27" s="132">
        <v>350</v>
      </c>
      <c r="D27" s="285">
        <v>100</v>
      </c>
      <c r="E27" s="150">
        <f t="shared" si="2"/>
        <v>30</v>
      </c>
      <c r="F27" s="151">
        <f t="shared" si="0"/>
        <v>35</v>
      </c>
      <c r="G27" s="215">
        <f t="shared" si="1"/>
        <v>210</v>
      </c>
      <c r="H27" s="253">
        <f t="shared" si="1"/>
        <v>244.99999999999997</v>
      </c>
      <c r="I27" s="152">
        <f t="shared" si="3"/>
        <v>21</v>
      </c>
      <c r="J27" s="151">
        <f t="shared" si="4"/>
        <v>24.5</v>
      </c>
      <c r="M27" s="13"/>
    </row>
    <row r="28" spans="1:13" ht="25.5">
      <c r="A28" s="288" t="s">
        <v>235</v>
      </c>
      <c r="B28" s="132">
        <v>150</v>
      </c>
      <c r="C28" s="132">
        <v>180</v>
      </c>
      <c r="D28" s="285">
        <v>142.1</v>
      </c>
      <c r="E28" s="150">
        <f t="shared" si="2"/>
        <v>21.32</v>
      </c>
      <c r="F28" s="151">
        <f t="shared" si="0"/>
        <v>25.58</v>
      </c>
      <c r="G28" s="215">
        <f t="shared" si="1"/>
        <v>105</v>
      </c>
      <c r="H28" s="253">
        <f t="shared" si="1"/>
        <v>125.99999999999999</v>
      </c>
      <c r="I28" s="152">
        <f t="shared" si="3"/>
        <v>14.9205</v>
      </c>
      <c r="J28" s="151">
        <f t="shared" si="4"/>
        <v>17.9046</v>
      </c>
      <c r="M28" s="13"/>
    </row>
    <row r="29" spans="1:13" ht="15" customHeight="1">
      <c r="A29" s="288" t="s">
        <v>236</v>
      </c>
      <c r="B29" s="132">
        <v>50</v>
      </c>
      <c r="C29" s="132">
        <v>60</v>
      </c>
      <c r="D29" s="132">
        <v>452.5</v>
      </c>
      <c r="E29" s="150">
        <f t="shared" si="2"/>
        <v>22.63</v>
      </c>
      <c r="F29" s="151">
        <f t="shared" si="0"/>
        <v>27.15</v>
      </c>
      <c r="G29" s="215">
        <f t="shared" si="1"/>
        <v>35</v>
      </c>
      <c r="H29" s="253">
        <f t="shared" si="1"/>
        <v>42</v>
      </c>
      <c r="I29" s="152">
        <f t="shared" si="3"/>
        <v>15.8375</v>
      </c>
      <c r="J29" s="151">
        <f t="shared" si="4"/>
        <v>19.005</v>
      </c>
      <c r="M29" s="13"/>
    </row>
    <row r="30" spans="1:13" ht="12.75" customHeight="1">
      <c r="A30" s="288" t="s">
        <v>70</v>
      </c>
      <c r="B30" s="132">
        <v>10</v>
      </c>
      <c r="C30" s="132">
        <v>12</v>
      </c>
      <c r="D30" s="285">
        <v>530</v>
      </c>
      <c r="E30" s="150">
        <f t="shared" si="2"/>
        <v>5.3</v>
      </c>
      <c r="F30" s="151">
        <f t="shared" si="0"/>
        <v>6.36</v>
      </c>
      <c r="G30" s="215">
        <f t="shared" si="1"/>
        <v>7</v>
      </c>
      <c r="H30" s="253">
        <f t="shared" si="1"/>
        <v>8.399999999999999</v>
      </c>
      <c r="I30" s="152">
        <f t="shared" si="3"/>
        <v>3.71</v>
      </c>
      <c r="J30" s="151">
        <f t="shared" si="4"/>
        <v>4.451999999999999</v>
      </c>
      <c r="M30" s="13"/>
    </row>
    <row r="31" spans="1:13" ht="14.25" customHeight="1">
      <c r="A31" s="288" t="s">
        <v>237</v>
      </c>
      <c r="B31" s="132">
        <v>10</v>
      </c>
      <c r="C31" s="132">
        <v>10</v>
      </c>
      <c r="D31" s="285">
        <v>250</v>
      </c>
      <c r="E31" s="150">
        <f t="shared" si="2"/>
        <v>2.5</v>
      </c>
      <c r="F31" s="151">
        <f t="shared" si="0"/>
        <v>2.5</v>
      </c>
      <c r="G31" s="215">
        <f t="shared" si="1"/>
        <v>7</v>
      </c>
      <c r="H31" s="253">
        <f t="shared" si="1"/>
        <v>7</v>
      </c>
      <c r="I31" s="152">
        <f t="shared" si="3"/>
        <v>1.75</v>
      </c>
      <c r="J31" s="151">
        <f t="shared" si="4"/>
        <v>1.75</v>
      </c>
      <c r="M31" s="13"/>
    </row>
    <row r="32" spans="1:13" ht="12.75">
      <c r="A32" s="288" t="s">
        <v>71</v>
      </c>
      <c r="B32" s="132">
        <v>30</v>
      </c>
      <c r="C32" s="132">
        <v>35</v>
      </c>
      <c r="D32" s="132">
        <v>620</v>
      </c>
      <c r="E32" s="150">
        <f t="shared" si="2"/>
        <v>18.6</v>
      </c>
      <c r="F32" s="151">
        <f t="shared" si="0"/>
        <v>21.7</v>
      </c>
      <c r="G32" s="215">
        <f t="shared" si="1"/>
        <v>21</v>
      </c>
      <c r="H32" s="253">
        <f t="shared" si="1"/>
        <v>24.5</v>
      </c>
      <c r="I32" s="152">
        <f t="shared" si="3"/>
        <v>13.02</v>
      </c>
      <c r="J32" s="151">
        <f t="shared" si="4"/>
        <v>15.19</v>
      </c>
      <c r="M32" s="13"/>
    </row>
    <row r="33" spans="1:13" ht="12.75">
      <c r="A33" s="288" t="s">
        <v>72</v>
      </c>
      <c r="B33" s="132">
        <v>15</v>
      </c>
      <c r="C33" s="132">
        <v>18</v>
      </c>
      <c r="D33" s="285">
        <v>159.86</v>
      </c>
      <c r="E33" s="150">
        <f t="shared" si="2"/>
        <v>2.4</v>
      </c>
      <c r="F33" s="151">
        <f t="shared" si="0"/>
        <v>2.88</v>
      </c>
      <c r="G33" s="215">
        <f t="shared" si="1"/>
        <v>10.5</v>
      </c>
      <c r="H33" s="253">
        <f t="shared" si="1"/>
        <v>12.6</v>
      </c>
      <c r="I33" s="152">
        <f t="shared" si="3"/>
        <v>1.67853</v>
      </c>
      <c r="J33" s="151">
        <f t="shared" si="4"/>
        <v>2.014236</v>
      </c>
      <c r="M33" s="13"/>
    </row>
    <row r="34" spans="1:13" ht="15" customHeight="1">
      <c r="A34" s="288" t="s">
        <v>238</v>
      </c>
      <c r="B34" s="132">
        <v>1</v>
      </c>
      <c r="C34" s="132">
        <v>1</v>
      </c>
      <c r="D34" s="286">
        <v>9.2</v>
      </c>
      <c r="E34" s="292">
        <f>D34*1</f>
        <v>9.2</v>
      </c>
      <c r="F34" s="293">
        <f>E34*1</f>
        <v>9.2</v>
      </c>
      <c r="G34" s="308">
        <f>B34*0.7</f>
        <v>0.7</v>
      </c>
      <c r="H34" s="294">
        <f>C34*0.7</f>
        <v>0.7</v>
      </c>
      <c r="I34" s="152">
        <f>D34*G34</f>
        <v>6.4399999999999995</v>
      </c>
      <c r="J34" s="152">
        <f>E34*H34</f>
        <v>6.4399999999999995</v>
      </c>
      <c r="M34" s="13"/>
    </row>
    <row r="35" spans="1:13" ht="84.75" customHeight="1">
      <c r="A35" s="367" t="s">
        <v>226</v>
      </c>
      <c r="B35" s="132">
        <v>30</v>
      </c>
      <c r="C35" s="132">
        <v>35</v>
      </c>
      <c r="D35" s="285">
        <v>78</v>
      </c>
      <c r="E35" s="318">
        <f>ROUND(D35/1000*B35,2)</f>
        <v>2.34</v>
      </c>
      <c r="F35" s="319">
        <f t="shared" si="0"/>
        <v>2.73</v>
      </c>
      <c r="G35" s="320">
        <f aca="true" t="shared" si="5" ref="G35:H43">B35*0.7</f>
        <v>21</v>
      </c>
      <c r="H35" s="321">
        <f t="shared" si="5"/>
        <v>24.5</v>
      </c>
      <c r="I35" s="322">
        <f t="shared" si="3"/>
        <v>1.638</v>
      </c>
      <c r="J35" s="319">
        <f t="shared" si="4"/>
        <v>1.911</v>
      </c>
      <c r="M35" s="13"/>
    </row>
    <row r="36" spans="1:13" ht="12.75">
      <c r="A36" s="288" t="s">
        <v>75</v>
      </c>
      <c r="B36" s="132">
        <v>10</v>
      </c>
      <c r="C36" s="132">
        <v>15</v>
      </c>
      <c r="D36" s="285">
        <v>192</v>
      </c>
      <c r="E36" s="150">
        <f>ROUND(D36/1000*B36,2)</f>
        <v>1.92</v>
      </c>
      <c r="F36" s="151">
        <f t="shared" si="0"/>
        <v>2.88</v>
      </c>
      <c r="G36" s="215">
        <f t="shared" si="5"/>
        <v>7</v>
      </c>
      <c r="H36" s="253">
        <f t="shared" si="5"/>
        <v>10.5</v>
      </c>
      <c r="I36" s="152">
        <f t="shared" si="3"/>
        <v>1.344</v>
      </c>
      <c r="J36" s="151">
        <f t="shared" si="4"/>
        <v>2.016</v>
      </c>
      <c r="M36" s="13"/>
    </row>
    <row r="37" spans="1:13" ht="12.75">
      <c r="A37" s="288" t="s">
        <v>76</v>
      </c>
      <c r="B37" s="132">
        <v>1</v>
      </c>
      <c r="C37" s="132">
        <v>2</v>
      </c>
      <c r="D37" s="285">
        <v>523</v>
      </c>
      <c r="E37" s="150">
        <f t="shared" si="2"/>
        <v>0.52</v>
      </c>
      <c r="F37" s="151">
        <f t="shared" si="0"/>
        <v>1.05</v>
      </c>
      <c r="G37" s="215">
        <f t="shared" si="5"/>
        <v>0.7</v>
      </c>
      <c r="H37" s="253">
        <f t="shared" si="5"/>
        <v>1.4</v>
      </c>
      <c r="I37" s="152">
        <f t="shared" si="3"/>
        <v>0.3661</v>
      </c>
      <c r="J37" s="151">
        <f t="shared" si="4"/>
        <v>0.7322</v>
      </c>
      <c r="M37" s="13"/>
    </row>
    <row r="38" spans="1:13" ht="12.75">
      <c r="A38" s="288" t="s">
        <v>8</v>
      </c>
      <c r="B38" s="132">
        <v>1</v>
      </c>
      <c r="C38" s="132">
        <v>1.2</v>
      </c>
      <c r="D38" s="285">
        <v>900</v>
      </c>
      <c r="E38" s="150">
        <f>ROUND(D38/1000*B38,2)</f>
        <v>0.9</v>
      </c>
      <c r="F38" s="151">
        <f>ROUND(D38/1000*C38,2)</f>
        <v>1.08</v>
      </c>
      <c r="G38" s="215">
        <f aca="true" t="shared" si="6" ref="G38:H40">B38*0.7</f>
        <v>0.7</v>
      </c>
      <c r="H38" s="253">
        <f t="shared" si="6"/>
        <v>0.84</v>
      </c>
      <c r="I38" s="152">
        <f>D38/1000*G38</f>
        <v>0.63</v>
      </c>
      <c r="J38" s="151">
        <f>D38/1000*H38</f>
        <v>0.756</v>
      </c>
      <c r="M38" s="13"/>
    </row>
    <row r="39" spans="1:13" ht="12.75">
      <c r="A39" s="288" t="s">
        <v>89</v>
      </c>
      <c r="B39" s="132">
        <v>2</v>
      </c>
      <c r="C39" s="132">
        <v>2</v>
      </c>
      <c r="D39" s="285">
        <v>533</v>
      </c>
      <c r="E39" s="150">
        <f>ROUND(D39/1000*B39,2)</f>
        <v>1.07</v>
      </c>
      <c r="F39" s="151">
        <f>ROUND(D39/1000*C39,2)</f>
        <v>1.07</v>
      </c>
      <c r="G39" s="215">
        <f t="shared" si="6"/>
        <v>1.4</v>
      </c>
      <c r="H39" s="253">
        <f t="shared" si="6"/>
        <v>1.4</v>
      </c>
      <c r="I39" s="152">
        <f>D39/1000*G39</f>
        <v>0.7462</v>
      </c>
      <c r="J39" s="151">
        <f>D39/1000*H39</f>
        <v>0.7462</v>
      </c>
      <c r="M39" s="13"/>
    </row>
    <row r="40" spans="1:13" ht="12.75">
      <c r="A40" s="288" t="s">
        <v>78</v>
      </c>
      <c r="B40" s="132">
        <v>0.2</v>
      </c>
      <c r="C40" s="132">
        <v>0.3</v>
      </c>
      <c r="D40" s="285">
        <v>1600</v>
      </c>
      <c r="E40" s="150">
        <f>ROUND(D40/1000*B40,2)</f>
        <v>0.32</v>
      </c>
      <c r="F40" s="151">
        <f>ROUND(D40/1000*C40,2)</f>
        <v>0.48</v>
      </c>
      <c r="G40" s="215">
        <f t="shared" si="6"/>
        <v>0.13999999999999999</v>
      </c>
      <c r="H40" s="253">
        <f t="shared" si="6"/>
        <v>0.21</v>
      </c>
      <c r="I40" s="152">
        <f>D40/1000*G40</f>
        <v>0.22399999999999998</v>
      </c>
      <c r="J40" s="151">
        <f>D40/1000*H40</f>
        <v>0.336</v>
      </c>
      <c r="M40" s="13"/>
    </row>
    <row r="41" spans="1:13" ht="12.75">
      <c r="A41" s="288" t="s">
        <v>227</v>
      </c>
      <c r="B41" s="132">
        <v>3</v>
      </c>
      <c r="C41" s="132">
        <v>4</v>
      </c>
      <c r="D41" s="285">
        <v>270</v>
      </c>
      <c r="E41" s="150">
        <f>ROUND(D41/1000*B41,2)</f>
        <v>0.81</v>
      </c>
      <c r="F41" s="151">
        <f t="shared" si="0"/>
        <v>1.08</v>
      </c>
      <c r="G41" s="215">
        <f t="shared" si="5"/>
        <v>2.0999999999999996</v>
      </c>
      <c r="H41" s="253">
        <f t="shared" si="5"/>
        <v>2.8</v>
      </c>
      <c r="I41" s="152">
        <f t="shared" si="3"/>
        <v>0.567</v>
      </c>
      <c r="J41" s="151">
        <f t="shared" si="4"/>
        <v>0.756</v>
      </c>
      <c r="M41" s="13"/>
    </row>
    <row r="42" spans="1:13" ht="12.75">
      <c r="A42" s="288" t="s">
        <v>239</v>
      </c>
      <c r="B42" s="132">
        <v>2</v>
      </c>
      <c r="C42" s="132">
        <v>2</v>
      </c>
      <c r="D42" s="285">
        <v>2600</v>
      </c>
      <c r="E42" s="150">
        <f t="shared" si="2"/>
        <v>5.2</v>
      </c>
      <c r="F42" s="151">
        <f t="shared" si="0"/>
        <v>5.2</v>
      </c>
      <c r="G42" s="215">
        <f t="shared" si="5"/>
        <v>1.4</v>
      </c>
      <c r="H42" s="253">
        <f t="shared" si="5"/>
        <v>1.4</v>
      </c>
      <c r="I42" s="152">
        <f t="shared" si="3"/>
        <v>3.6399999999999997</v>
      </c>
      <c r="J42" s="151">
        <f t="shared" si="4"/>
        <v>3.6399999999999997</v>
      </c>
      <c r="M42" s="13"/>
    </row>
    <row r="43" spans="1:13" ht="15.75" customHeight="1" thickBot="1">
      <c r="A43" s="288" t="s">
        <v>240</v>
      </c>
      <c r="B43" s="132">
        <v>3</v>
      </c>
      <c r="C43" s="132">
        <v>5</v>
      </c>
      <c r="D43" s="285">
        <v>22</v>
      </c>
      <c r="E43" s="150">
        <f t="shared" si="2"/>
        <v>0.07</v>
      </c>
      <c r="F43" s="151">
        <f t="shared" si="0"/>
        <v>0.11</v>
      </c>
      <c r="G43" s="215">
        <f t="shared" si="5"/>
        <v>2.0999999999999996</v>
      </c>
      <c r="H43" s="253">
        <f t="shared" si="5"/>
        <v>3.5</v>
      </c>
      <c r="I43" s="152">
        <f t="shared" si="3"/>
        <v>0.04619999999999999</v>
      </c>
      <c r="J43" s="151">
        <f t="shared" si="4"/>
        <v>0.077</v>
      </c>
      <c r="M43" s="13"/>
    </row>
    <row r="44" spans="1:13" ht="22.5" customHeight="1" thickBot="1">
      <c r="A44" s="345" t="s">
        <v>10</v>
      </c>
      <c r="B44" s="346"/>
      <c r="C44" s="347"/>
      <c r="D44" s="348">
        <f>(E44+F44)/2</f>
        <v>327.0849999999999</v>
      </c>
      <c r="E44" s="349">
        <f>SUM(E13:E43)</f>
        <v>302.2399999999999</v>
      </c>
      <c r="F44" s="349">
        <f>SUM(F13:F43)</f>
        <v>351.93</v>
      </c>
      <c r="G44" s="346"/>
      <c r="H44" s="347"/>
      <c r="I44" s="350">
        <f>SUM(I13:I43)</f>
        <v>211.57141</v>
      </c>
      <c r="J44" s="351">
        <f>SUM(J13:J43)</f>
        <v>246.35175599999997</v>
      </c>
      <c r="L44" s="254"/>
      <c r="M44" s="13"/>
    </row>
    <row r="45" spans="1:13" ht="37.5" customHeight="1">
      <c r="A45" s="352" t="s">
        <v>11</v>
      </c>
      <c r="B45" s="353"/>
      <c r="C45" s="354"/>
      <c r="D45" s="355"/>
      <c r="E45" s="356"/>
      <c r="F45" s="357"/>
      <c r="G45" s="353"/>
      <c r="H45" s="355"/>
      <c r="I45" s="356"/>
      <c r="J45" s="357"/>
      <c r="K45" s="13"/>
      <c r="L45" s="13"/>
      <c r="M45" s="13"/>
    </row>
    <row r="46" spans="1:10" ht="25.5" customHeight="1">
      <c r="A46" s="36" t="s">
        <v>12</v>
      </c>
      <c r="B46" s="358"/>
      <c r="C46" s="359"/>
      <c r="D46" s="178"/>
      <c r="E46" s="152">
        <f>E44*1.5</f>
        <v>453.35999999999984</v>
      </c>
      <c r="F46" s="151">
        <f>F44*1.5</f>
        <v>527.895</v>
      </c>
      <c r="G46" s="150"/>
      <c r="H46" s="168"/>
      <c r="I46" s="152">
        <f>I44*1.5</f>
        <v>317.35711499999996</v>
      </c>
      <c r="J46" s="151">
        <f>J44*1.5</f>
        <v>369.5276339999999</v>
      </c>
    </row>
    <row r="47" spans="1:10" ht="38.25" customHeight="1" thickBot="1">
      <c r="A47" s="37" t="s">
        <v>190</v>
      </c>
      <c r="B47" s="360"/>
      <c r="C47" s="361"/>
      <c r="D47" s="362"/>
      <c r="E47" s="363">
        <f>E44*2</f>
        <v>604.4799999999998</v>
      </c>
      <c r="F47" s="364">
        <f>F44*2</f>
        <v>703.86</v>
      </c>
      <c r="G47" s="365"/>
      <c r="H47" s="366"/>
      <c r="I47" s="363">
        <f>I44*2</f>
        <v>423.14282</v>
      </c>
      <c r="J47" s="364">
        <f>J44*2</f>
        <v>492.70351199999993</v>
      </c>
    </row>
    <row r="48" spans="1:10" ht="12.75">
      <c r="A48" s="20"/>
      <c r="B48" s="13"/>
      <c r="C48" s="13"/>
      <c r="D48" s="13">
        <v>327.09</v>
      </c>
      <c r="E48" s="13">
        <v>302.24</v>
      </c>
      <c r="F48" s="13">
        <v>351.94</v>
      </c>
      <c r="G48" s="13"/>
      <c r="H48" s="13"/>
      <c r="I48" s="13">
        <v>211.57</v>
      </c>
      <c r="J48" s="13">
        <v>246.35</v>
      </c>
    </row>
    <row r="49" spans="1:11" ht="12.75">
      <c r="A49" s="20"/>
      <c r="E49" s="44"/>
      <c r="I49" s="14"/>
      <c r="J49" s="14"/>
      <c r="K49" s="13"/>
    </row>
    <row r="50" spans="4:11" ht="12.75">
      <c r="D50" s="63"/>
      <c r="E50" s="44"/>
      <c r="I50" s="21"/>
      <c r="J50" s="21"/>
      <c r="K50" s="13"/>
    </row>
    <row r="51" spans="4:10" ht="12.75">
      <c r="D51" s="63"/>
      <c r="E51" s="98"/>
      <c r="F51" s="22"/>
      <c r="I51" s="22"/>
      <c r="J51" s="22"/>
    </row>
    <row r="52" spans="4:5" ht="12.75">
      <c r="D52" s="63"/>
      <c r="E52" s="97"/>
    </row>
  </sheetData>
  <sheetProtection/>
  <mergeCells count="14">
    <mergeCell ref="H1:J1"/>
    <mergeCell ref="D2:F2"/>
    <mergeCell ref="G2:J2"/>
    <mergeCell ref="D3:F3"/>
    <mergeCell ref="D4:F4"/>
    <mergeCell ref="D5:F5"/>
    <mergeCell ref="A8:J8"/>
    <mergeCell ref="A9:J9"/>
    <mergeCell ref="A11:A12"/>
    <mergeCell ref="B11:C11"/>
    <mergeCell ref="D11:D12"/>
    <mergeCell ref="E11:F11"/>
    <mergeCell ref="G11:H11"/>
    <mergeCell ref="I11:J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21"/>
  <sheetViews>
    <sheetView view="pageBreakPreview" zoomScaleSheetLayoutView="100" zoomScalePageLayoutView="0" workbookViewId="0" topLeftCell="A4">
      <selection activeCell="A14" sqref="A14:A18"/>
    </sheetView>
  </sheetViews>
  <sheetFormatPr defaultColWidth="9.140625" defaultRowHeight="12.75"/>
  <cols>
    <col min="1" max="1" width="36.28125" style="179" customWidth="1"/>
    <col min="2" max="3" width="12.28125" style="179" hidden="1" customWidth="1"/>
    <col min="4" max="8" width="12.28125" style="179" customWidth="1"/>
    <col min="9" max="9" width="10.57421875" style="179" customWidth="1"/>
    <col min="10" max="16384" width="9.140625" style="179" customWidth="1"/>
  </cols>
  <sheetData>
    <row r="2" spans="1:6" ht="20.25">
      <c r="A2" s="433" t="s">
        <v>165</v>
      </c>
      <c r="B2" s="433"/>
      <c r="C2" s="433"/>
      <c r="D2" s="433"/>
      <c r="E2" s="433"/>
      <c r="F2" s="433"/>
    </row>
    <row r="4" spans="1:9" ht="20.25">
      <c r="A4" s="180"/>
      <c r="B4" s="181">
        <v>2014</v>
      </c>
      <c r="C4" s="181">
        <v>2015</v>
      </c>
      <c r="D4" s="181">
        <v>2016</v>
      </c>
      <c r="E4" s="182">
        <v>2017</v>
      </c>
      <c r="F4" s="182">
        <v>2018</v>
      </c>
      <c r="G4" s="182">
        <v>2019</v>
      </c>
      <c r="H4" s="182">
        <v>2020</v>
      </c>
      <c r="I4" s="182">
        <v>2021</v>
      </c>
    </row>
    <row r="5" spans="1:9" ht="20.25">
      <c r="A5" s="183" t="s">
        <v>166</v>
      </c>
      <c r="B5" s="184"/>
      <c r="C5" s="184"/>
      <c r="D5" s="184"/>
      <c r="E5" s="184"/>
      <c r="F5" s="184"/>
      <c r="G5" s="184"/>
      <c r="H5" s="184"/>
      <c r="I5" s="184"/>
    </row>
    <row r="6" spans="1:9" ht="20.25">
      <c r="A6" s="185" t="s">
        <v>167</v>
      </c>
      <c r="B6" s="186">
        <v>31.34</v>
      </c>
      <c r="C6" s="186">
        <v>32.91</v>
      </c>
      <c r="D6" s="186">
        <v>35.08</v>
      </c>
      <c r="E6" s="186">
        <v>36.94</v>
      </c>
      <c r="F6" s="186">
        <v>50.83</v>
      </c>
      <c r="G6" s="186">
        <v>52.81</v>
      </c>
      <c r="H6" s="186">
        <v>54.87</v>
      </c>
      <c r="I6" s="282">
        <v>56.9</v>
      </c>
    </row>
    <row r="7" spans="1:9" ht="20.25">
      <c r="A7" s="185" t="s">
        <v>168</v>
      </c>
      <c r="B7" s="186">
        <v>35.58</v>
      </c>
      <c r="C7" s="186">
        <v>37.36</v>
      </c>
      <c r="D7" s="186">
        <v>39.83</v>
      </c>
      <c r="E7" s="186">
        <v>41.94</v>
      </c>
      <c r="F7" s="186">
        <v>59.09</v>
      </c>
      <c r="G7" s="186">
        <v>61.39</v>
      </c>
      <c r="H7" s="186">
        <v>63.78</v>
      </c>
      <c r="I7" s="282">
        <v>66.1</v>
      </c>
    </row>
    <row r="8" spans="1:9" ht="20.25">
      <c r="A8" s="183" t="s">
        <v>169</v>
      </c>
      <c r="B8" s="186"/>
      <c r="C8" s="186"/>
      <c r="D8" s="186"/>
      <c r="E8" s="186"/>
      <c r="F8" s="186"/>
      <c r="G8" s="186"/>
      <c r="H8" s="186"/>
      <c r="I8" s="282"/>
    </row>
    <row r="9" spans="1:9" ht="20.25">
      <c r="A9" s="185" t="s">
        <v>167</v>
      </c>
      <c r="B9" s="187">
        <v>47</v>
      </c>
      <c r="C9" s="186">
        <v>49.35</v>
      </c>
      <c r="D9" s="186">
        <v>52.61</v>
      </c>
      <c r="E9" s="186">
        <v>55.4</v>
      </c>
      <c r="F9" s="186">
        <v>76.24</v>
      </c>
      <c r="G9" s="186">
        <v>79.22</v>
      </c>
      <c r="H9" s="187">
        <v>82.3</v>
      </c>
      <c r="I9" s="282">
        <v>85.3</v>
      </c>
    </row>
    <row r="10" spans="1:9" ht="20.25">
      <c r="A10" s="185" t="s">
        <v>168</v>
      </c>
      <c r="B10" s="186">
        <v>53.37</v>
      </c>
      <c r="C10" s="186">
        <v>56.04</v>
      </c>
      <c r="D10" s="186">
        <v>59.74</v>
      </c>
      <c r="E10" s="186">
        <v>62.91</v>
      </c>
      <c r="F10" s="186">
        <v>88.63</v>
      </c>
      <c r="G10" s="186">
        <v>92.08</v>
      </c>
      <c r="H10" s="186">
        <v>95.67</v>
      </c>
      <c r="I10" s="282">
        <f>H10*1.036</f>
        <v>99.11412</v>
      </c>
    </row>
    <row r="11" spans="1:7" ht="20.25">
      <c r="A11" s="188"/>
      <c r="B11" s="189"/>
      <c r="C11" s="190"/>
      <c r="D11" s="191"/>
      <c r="E11" s="192"/>
      <c r="F11" s="193"/>
      <c r="G11" s="193"/>
    </row>
    <row r="12" spans="1:7" ht="20.25" hidden="1">
      <c r="A12" s="194" t="s">
        <v>170</v>
      </c>
      <c r="B12" s="189"/>
      <c r="C12" s="190"/>
      <c r="D12" s="191"/>
      <c r="E12" s="192"/>
      <c r="F12" s="193"/>
      <c r="G12" s="193"/>
    </row>
    <row r="13" spans="1:7" ht="20.25" hidden="1">
      <c r="A13" s="194" t="s">
        <v>171</v>
      </c>
      <c r="B13" s="189"/>
      <c r="C13" s="190"/>
      <c r="D13" s="191"/>
      <c r="E13" s="192"/>
      <c r="F13" s="193"/>
      <c r="G13" s="193"/>
    </row>
    <row r="14" spans="1:7" ht="20.25">
      <c r="A14" s="194" t="s">
        <v>172</v>
      </c>
      <c r="B14" s="189"/>
      <c r="C14" s="190"/>
      <c r="D14" s="191"/>
      <c r="E14" s="192"/>
      <c r="F14" s="193"/>
      <c r="G14" s="193"/>
    </row>
    <row r="15" spans="1:7" ht="20.25">
      <c r="A15" s="194" t="s">
        <v>173</v>
      </c>
      <c r="B15" s="189"/>
      <c r="C15" s="190"/>
      <c r="D15" s="191"/>
      <c r="E15" s="192"/>
      <c r="F15" s="193"/>
      <c r="G15" s="193"/>
    </row>
    <row r="16" spans="1:7" ht="20.25">
      <c r="A16" s="194" t="s">
        <v>174</v>
      </c>
      <c r="B16" s="189"/>
      <c r="C16" s="190"/>
      <c r="D16" s="191"/>
      <c r="E16" s="192"/>
      <c r="F16" s="193"/>
      <c r="G16" s="193"/>
    </row>
    <row r="17" spans="1:7" ht="20.25">
      <c r="A17" s="194" t="s">
        <v>175</v>
      </c>
      <c r="B17" s="189"/>
      <c r="C17" s="190"/>
      <c r="D17" s="191"/>
      <c r="E17" s="192"/>
      <c r="F17" s="193"/>
      <c r="G17" s="193"/>
    </row>
    <row r="18" spans="1:7" ht="20.25">
      <c r="A18" s="194" t="s">
        <v>188</v>
      </c>
      <c r="B18" s="189"/>
      <c r="C18" s="190"/>
      <c r="D18" s="191"/>
      <c r="E18" s="192"/>
      <c r="F18" s="193"/>
      <c r="G18" s="193"/>
    </row>
    <row r="19" spans="1:7" ht="20.25">
      <c r="A19" s="188"/>
      <c r="B19" s="189"/>
      <c r="C19" s="190"/>
      <c r="D19" s="191"/>
      <c r="E19" s="192"/>
      <c r="F19" s="193"/>
      <c r="G19" s="193"/>
    </row>
    <row r="20" spans="1:7" ht="87" customHeight="1">
      <c r="A20" s="434" t="s">
        <v>189</v>
      </c>
      <c r="B20" s="435"/>
      <c r="C20" s="435"/>
      <c r="D20" s="435"/>
      <c r="E20" s="436"/>
      <c r="F20" s="195" t="s">
        <v>176</v>
      </c>
      <c r="G20" s="195" t="s">
        <v>177</v>
      </c>
    </row>
    <row r="21" spans="1:7" ht="84.75" customHeight="1">
      <c r="A21" s="437"/>
      <c r="B21" s="438"/>
      <c r="C21" s="438"/>
      <c r="D21" s="438"/>
      <c r="E21" s="439"/>
      <c r="F21" s="283">
        <v>142.11</v>
      </c>
      <c r="G21" s="284">
        <v>165.19</v>
      </c>
    </row>
  </sheetData>
  <sheetProtection/>
  <mergeCells count="2">
    <mergeCell ref="A2:F2"/>
    <mergeCell ref="A20:E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K23"/>
  <sheetViews>
    <sheetView view="pageBreakPreview" zoomScaleSheetLayoutView="100" zoomScalePageLayoutView="0" workbookViewId="0" topLeftCell="A10">
      <selection activeCell="F24" sqref="F24"/>
    </sheetView>
  </sheetViews>
  <sheetFormatPr defaultColWidth="9.140625" defaultRowHeight="12.75"/>
  <cols>
    <col min="1" max="1" width="36.28125" style="179" customWidth="1"/>
    <col min="2" max="3" width="12.28125" style="179" hidden="1" customWidth="1"/>
    <col min="4" max="8" width="12.28125" style="179" customWidth="1"/>
    <col min="9" max="9" width="10.57421875" style="179" customWidth="1"/>
    <col min="10" max="10" width="11.28125" style="179" customWidth="1"/>
    <col min="11" max="11" width="10.57421875" style="179" bestFit="1" customWidth="1"/>
    <col min="12" max="16384" width="9.140625" style="179" customWidth="1"/>
  </cols>
  <sheetData>
    <row r="1" spans="1:11" s="297" customFormat="1" ht="14.25" customHeight="1">
      <c r="A1" s="296"/>
      <c r="B1" s="296"/>
      <c r="C1" s="296"/>
      <c r="D1" s="296"/>
      <c r="E1" s="296"/>
      <c r="F1" s="296"/>
      <c r="G1" s="296"/>
      <c r="H1" s="13"/>
      <c r="I1" s="386"/>
      <c r="J1" s="386"/>
      <c r="K1" s="386"/>
    </row>
    <row r="2" spans="8:11" s="297" customFormat="1" ht="15" customHeight="1">
      <c r="H2" s="372"/>
      <c r="I2" s="372"/>
      <c r="J2" s="372"/>
      <c r="K2" s="372"/>
    </row>
    <row r="3" spans="1:11" s="297" customFormat="1" ht="14.25" customHeight="1">
      <c r="A3" s="311"/>
      <c r="B3" s="311"/>
      <c r="C3" s="311"/>
      <c r="D3" s="311"/>
      <c r="E3" s="311"/>
      <c r="F3" s="311"/>
      <c r="G3" s="311"/>
      <c r="H3" s="154"/>
      <c r="I3" s="154"/>
      <c r="J3" s="160"/>
      <c r="K3" s="160"/>
    </row>
    <row r="4" spans="1:11" s="297" customFormat="1" ht="14.25" customHeight="1">
      <c r="A4" s="311"/>
      <c r="B4" s="311"/>
      <c r="C4" s="311"/>
      <c r="D4" s="311"/>
      <c r="E4" s="311"/>
      <c r="F4" s="311"/>
      <c r="G4" s="311"/>
      <c r="H4" s="154"/>
      <c r="I4" s="154"/>
      <c r="J4" s="160"/>
      <c r="K4" s="160"/>
    </row>
    <row r="5" spans="1:11" s="297" customFormat="1" ht="15" customHeight="1">
      <c r="A5" s="311"/>
      <c r="B5" s="311"/>
      <c r="C5" s="311"/>
      <c r="D5" s="311"/>
      <c r="E5" s="311"/>
      <c r="F5" s="311"/>
      <c r="G5" s="311"/>
      <c r="H5" s="154"/>
      <c r="I5" s="154"/>
      <c r="J5" s="160"/>
      <c r="K5" s="160"/>
    </row>
    <row r="6" spans="1:11" s="297" customFormat="1" ht="12" customHeight="1">
      <c r="A6" s="311"/>
      <c r="B6" s="311"/>
      <c r="C6" s="311"/>
      <c r="D6" s="311"/>
      <c r="E6" s="311"/>
      <c r="F6" s="311"/>
      <c r="G6" s="311"/>
      <c r="H6" s="311"/>
      <c r="I6" s="311"/>
      <c r="J6" s="311"/>
      <c r="K6" s="311"/>
    </row>
    <row r="7" spans="1:11" s="297" customFormat="1" ht="14.25" customHeight="1">
      <c r="A7" s="443" t="s">
        <v>208</v>
      </c>
      <c r="B7" s="443"/>
      <c r="C7" s="443"/>
      <c r="D7" s="443"/>
      <c r="E7" s="443"/>
      <c r="F7" s="443"/>
      <c r="G7" s="443"/>
      <c r="H7" s="443"/>
      <c r="I7" s="443"/>
      <c r="J7" s="443"/>
      <c r="K7" s="443"/>
    </row>
    <row r="8" spans="1:11" s="297" customFormat="1" ht="14.25" customHeight="1">
      <c r="A8" s="295"/>
      <c r="B8" s="48">
        <v>2014</v>
      </c>
      <c r="C8" s="48">
        <v>2015</v>
      </c>
      <c r="D8" s="48">
        <v>2016</v>
      </c>
      <c r="E8" s="298">
        <v>2017</v>
      </c>
      <c r="F8" s="298">
        <v>2018</v>
      </c>
      <c r="G8" s="298">
        <v>2019</v>
      </c>
      <c r="H8" s="298">
        <v>2020</v>
      </c>
      <c r="I8" s="298">
        <v>2021</v>
      </c>
      <c r="J8" s="301" t="s">
        <v>206</v>
      </c>
      <c r="K8" s="298">
        <v>2022</v>
      </c>
    </row>
    <row r="9" spans="1:11" s="297" customFormat="1" ht="14.25" customHeight="1">
      <c r="A9" s="317" t="s">
        <v>166</v>
      </c>
      <c r="B9" s="299"/>
      <c r="C9" s="299"/>
      <c r="D9" s="299"/>
      <c r="E9" s="299"/>
      <c r="F9" s="299"/>
      <c r="G9" s="299"/>
      <c r="H9" s="299"/>
      <c r="I9" s="299"/>
      <c r="J9" s="299"/>
      <c r="K9" s="299"/>
    </row>
    <row r="10" spans="1:11" s="297" customFormat="1" ht="16.5" customHeight="1">
      <c r="A10" s="295" t="s">
        <v>167</v>
      </c>
      <c r="B10" s="312">
        <v>31.34</v>
      </c>
      <c r="C10" s="312">
        <v>32.91</v>
      </c>
      <c r="D10" s="303">
        <v>35.08</v>
      </c>
      <c r="E10" s="303">
        <v>36.94</v>
      </c>
      <c r="F10" s="303">
        <v>50.83</v>
      </c>
      <c r="G10" s="303">
        <v>52.81</v>
      </c>
      <c r="H10" s="303">
        <v>54.87</v>
      </c>
      <c r="I10" s="304">
        <v>56.9</v>
      </c>
      <c r="J10" s="304">
        <v>56.85</v>
      </c>
      <c r="K10" s="303">
        <v>59.07</v>
      </c>
    </row>
    <row r="11" spans="1:11" s="297" customFormat="1" ht="16.5" customHeight="1">
      <c r="A11" s="295" t="s">
        <v>168</v>
      </c>
      <c r="B11" s="312">
        <v>35.58</v>
      </c>
      <c r="C11" s="312">
        <v>37.36</v>
      </c>
      <c r="D11" s="303">
        <v>39.83</v>
      </c>
      <c r="E11" s="303">
        <v>41.94</v>
      </c>
      <c r="F11" s="303">
        <v>59.09</v>
      </c>
      <c r="G11" s="303">
        <v>61.39</v>
      </c>
      <c r="H11" s="303">
        <v>63.78</v>
      </c>
      <c r="I11" s="304">
        <v>66.1</v>
      </c>
      <c r="J11" s="304">
        <v>66.08</v>
      </c>
      <c r="K11" s="303">
        <v>68.66</v>
      </c>
    </row>
    <row r="12" spans="1:11" s="297" customFormat="1" ht="14.25" customHeight="1">
      <c r="A12" s="317" t="s">
        <v>169</v>
      </c>
      <c r="B12" s="312"/>
      <c r="C12" s="312"/>
      <c r="D12" s="303"/>
      <c r="E12" s="303"/>
      <c r="F12" s="303"/>
      <c r="G12" s="303"/>
      <c r="H12" s="303"/>
      <c r="I12" s="304"/>
      <c r="J12" s="304"/>
      <c r="K12" s="303"/>
    </row>
    <row r="13" spans="1:11" s="297" customFormat="1" ht="16.5" customHeight="1">
      <c r="A13" s="295" t="s">
        <v>167</v>
      </c>
      <c r="B13" s="313">
        <v>47</v>
      </c>
      <c r="C13" s="312">
        <v>49.35</v>
      </c>
      <c r="D13" s="303">
        <v>52.61</v>
      </c>
      <c r="E13" s="303">
        <v>55.4</v>
      </c>
      <c r="F13" s="303">
        <v>76.24</v>
      </c>
      <c r="G13" s="303">
        <v>79.22</v>
      </c>
      <c r="H13" s="305">
        <v>82.3</v>
      </c>
      <c r="I13" s="304">
        <v>85.3</v>
      </c>
      <c r="J13" s="304">
        <v>85.26</v>
      </c>
      <c r="K13" s="303">
        <v>88.58</v>
      </c>
    </row>
    <row r="14" spans="1:11" s="297" customFormat="1" ht="14.25" customHeight="1">
      <c r="A14" s="295" t="s">
        <v>168</v>
      </c>
      <c r="B14" s="312">
        <v>53.37</v>
      </c>
      <c r="C14" s="312">
        <v>56.04</v>
      </c>
      <c r="D14" s="303">
        <v>59.74</v>
      </c>
      <c r="E14" s="303">
        <v>62.91</v>
      </c>
      <c r="F14" s="303">
        <v>88.63</v>
      </c>
      <c r="G14" s="303">
        <v>92.08</v>
      </c>
      <c r="H14" s="303">
        <v>95.67</v>
      </c>
      <c r="I14" s="304">
        <f>H14*1.036</f>
        <v>99.11412</v>
      </c>
      <c r="J14" s="304">
        <v>99.11</v>
      </c>
      <c r="K14" s="305">
        <v>102.97</v>
      </c>
    </row>
    <row r="15" spans="1:11" s="297" customFormat="1" ht="14.25" customHeight="1">
      <c r="A15" s="317" t="s">
        <v>205</v>
      </c>
      <c r="B15" s="314"/>
      <c r="C15" s="314"/>
      <c r="D15" s="303"/>
      <c r="E15" s="303"/>
      <c r="F15" s="303"/>
      <c r="G15" s="303"/>
      <c r="H15" s="303"/>
      <c r="I15" s="304"/>
      <c r="J15" s="304"/>
      <c r="K15" s="305"/>
    </row>
    <row r="16" spans="1:11" s="297" customFormat="1" ht="14.25" customHeight="1">
      <c r="A16" s="295" t="s">
        <v>167</v>
      </c>
      <c r="B16" s="314"/>
      <c r="C16" s="314"/>
      <c r="D16" s="303"/>
      <c r="E16" s="303"/>
      <c r="F16" s="303"/>
      <c r="G16" s="303"/>
      <c r="H16" s="303"/>
      <c r="I16" s="304">
        <v>41.15</v>
      </c>
      <c r="J16" s="304">
        <v>42.63</v>
      </c>
      <c r="K16" s="305">
        <v>44.29</v>
      </c>
    </row>
    <row r="17" spans="1:11" s="297" customFormat="1" ht="14.25" customHeight="1">
      <c r="A17" s="295" t="s">
        <v>168</v>
      </c>
      <c r="B17" s="314"/>
      <c r="C17" s="314"/>
      <c r="D17" s="303"/>
      <c r="E17" s="303"/>
      <c r="F17" s="303"/>
      <c r="G17" s="303"/>
      <c r="H17" s="303"/>
      <c r="I17" s="304">
        <v>47.84</v>
      </c>
      <c r="J17" s="304">
        <v>49.56</v>
      </c>
      <c r="K17" s="305">
        <v>51.49</v>
      </c>
    </row>
    <row r="18" spans="1:11" s="297" customFormat="1" ht="10.5" customHeight="1">
      <c r="A18" s="300"/>
      <c r="B18" s="300"/>
      <c r="C18" s="300"/>
      <c r="D18" s="300"/>
      <c r="E18" s="300"/>
      <c r="F18" s="300"/>
      <c r="G18" s="300"/>
      <c r="H18" s="296"/>
      <c r="I18" s="296"/>
      <c r="J18" s="296"/>
      <c r="K18" s="296"/>
    </row>
    <row r="19" spans="1:11" s="297" customFormat="1" ht="14.25" customHeight="1">
      <c r="A19" s="315" t="s">
        <v>175</v>
      </c>
      <c r="B19" s="300"/>
      <c r="C19" s="300"/>
      <c r="D19" s="300"/>
      <c r="E19" s="300"/>
      <c r="F19" s="300"/>
      <c r="G19" s="300"/>
      <c r="H19" s="296"/>
      <c r="I19" s="296"/>
      <c r="J19" s="296"/>
      <c r="K19" s="296"/>
    </row>
    <row r="20" spans="1:11" s="297" customFormat="1" ht="14.25" customHeight="1">
      <c r="A20" s="315" t="s">
        <v>188</v>
      </c>
      <c r="B20" s="300"/>
      <c r="C20" s="300"/>
      <c r="D20" s="300"/>
      <c r="E20" s="300"/>
      <c r="F20" s="300"/>
      <c r="G20" s="300"/>
      <c r="H20" s="296"/>
      <c r="I20" s="296"/>
      <c r="J20" s="296"/>
      <c r="K20" s="296"/>
    </row>
    <row r="21" spans="1:11" s="297" customFormat="1" ht="15" customHeight="1">
      <c r="A21" s="315" t="s">
        <v>203</v>
      </c>
      <c r="B21" s="300"/>
      <c r="C21" s="300"/>
      <c r="D21" s="300"/>
      <c r="E21" s="300"/>
      <c r="F21" s="300"/>
      <c r="G21" s="300"/>
      <c r="H21" s="296"/>
      <c r="I21" s="296"/>
      <c r="J21" s="296"/>
      <c r="K21" s="296"/>
    </row>
    <row r="22" spans="1:7" s="297" customFormat="1" ht="87" customHeight="1">
      <c r="A22" s="440" t="s">
        <v>204</v>
      </c>
      <c r="B22" s="441"/>
      <c r="C22" s="441"/>
      <c r="D22" s="441"/>
      <c r="E22" s="441"/>
      <c r="F22" s="302" t="s">
        <v>176</v>
      </c>
      <c r="G22" s="302" t="s">
        <v>177</v>
      </c>
    </row>
    <row r="23" spans="1:7" s="297" customFormat="1" ht="66.75" customHeight="1">
      <c r="A23" s="442"/>
      <c r="B23" s="442"/>
      <c r="C23" s="442"/>
      <c r="D23" s="442"/>
      <c r="E23" s="442"/>
      <c r="F23" s="316">
        <f>K10+K13</f>
        <v>147.65</v>
      </c>
      <c r="G23" s="316">
        <f>K11+K14</f>
        <v>171.63</v>
      </c>
    </row>
    <row r="24" s="297" customFormat="1" ht="20.25"/>
  </sheetData>
  <sheetProtection/>
  <mergeCells count="4">
    <mergeCell ref="A22:E23"/>
    <mergeCell ref="A7:K7"/>
    <mergeCell ref="I1:K1"/>
    <mergeCell ref="H2:K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7"/>
  <sheetViews>
    <sheetView tabSelected="1" view="pageBreakPreview" zoomScaleSheetLayoutView="100" zoomScalePageLayoutView="0" workbookViewId="0" topLeftCell="A1">
      <selection activeCell="K8" sqref="K8"/>
    </sheetView>
  </sheetViews>
  <sheetFormatPr defaultColWidth="9.140625" defaultRowHeight="12.75"/>
  <cols>
    <col min="1" max="1" width="36.28125" style="179" customWidth="1"/>
    <col min="2" max="3" width="12.28125" style="179" hidden="1" customWidth="1"/>
    <col min="4" max="8" width="12.28125" style="179" customWidth="1"/>
    <col min="9" max="9" width="10.57421875" style="179" customWidth="1"/>
    <col min="10" max="10" width="11.28125" style="179" customWidth="1"/>
    <col min="11" max="11" width="12.00390625" style="179" customWidth="1"/>
    <col min="12" max="16384" width="9.140625" style="179" customWidth="1"/>
  </cols>
  <sheetData>
    <row r="1" spans="1:11" s="297" customFormat="1" ht="14.25" customHeight="1">
      <c r="A1" s="311"/>
      <c r="B1" s="311"/>
      <c r="C1" s="311"/>
      <c r="D1" s="311"/>
      <c r="E1" s="311"/>
      <c r="F1" s="311"/>
      <c r="G1" s="311"/>
      <c r="H1" s="154"/>
      <c r="I1" s="154"/>
      <c r="J1" s="160"/>
      <c r="K1" s="160"/>
    </row>
    <row r="2" spans="1:11" s="297" customFormat="1" ht="14.25" customHeight="1">
      <c r="A2" s="311"/>
      <c r="B2" s="311"/>
      <c r="C2" s="311"/>
      <c r="D2" s="311"/>
      <c r="E2" s="311"/>
      <c r="F2" s="311"/>
      <c r="G2" s="311"/>
      <c r="H2" s="154"/>
      <c r="I2" s="154"/>
      <c r="J2" s="160"/>
      <c r="K2" s="160"/>
    </row>
    <row r="3" spans="1:11" s="297" customFormat="1" ht="15" customHeight="1">
      <c r="A3" s="311"/>
      <c r="B3" s="311"/>
      <c r="C3" s="311"/>
      <c r="D3" s="311"/>
      <c r="E3" s="311"/>
      <c r="F3" s="311"/>
      <c r="G3" s="311"/>
      <c r="H3" s="154"/>
      <c r="I3" s="154"/>
      <c r="J3" s="160"/>
      <c r="K3" s="160"/>
    </row>
    <row r="4" spans="1:11" s="297" customFormat="1" ht="12" customHeight="1">
      <c r="A4" s="311"/>
      <c r="B4" s="311"/>
      <c r="C4" s="311"/>
      <c r="D4" s="311"/>
      <c r="E4" s="311"/>
      <c r="F4" s="311"/>
      <c r="G4" s="311"/>
      <c r="H4" s="311"/>
      <c r="I4" s="311"/>
      <c r="J4" s="311"/>
      <c r="K4" s="311"/>
    </row>
    <row r="5" spans="1:11" s="297" customFormat="1" ht="14.25" customHeight="1">
      <c r="A5" s="443" t="s">
        <v>208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</row>
    <row r="6" spans="1:11" s="297" customFormat="1" ht="51.75" customHeight="1">
      <c r="A6" s="295"/>
      <c r="B6" s="48">
        <v>2014</v>
      </c>
      <c r="C6" s="48">
        <v>2015</v>
      </c>
      <c r="D6" s="48">
        <v>2016</v>
      </c>
      <c r="E6" s="298">
        <v>2017</v>
      </c>
      <c r="F6" s="298">
        <v>2018</v>
      </c>
      <c r="G6" s="298">
        <v>2019</v>
      </c>
      <c r="H6" s="298">
        <v>2020</v>
      </c>
      <c r="I6" s="298">
        <v>2021</v>
      </c>
      <c r="J6" s="301" t="s">
        <v>206</v>
      </c>
      <c r="K6" s="369" t="s">
        <v>248</v>
      </c>
    </row>
    <row r="7" spans="1:11" s="297" customFormat="1" ht="14.25" customHeight="1">
      <c r="A7" s="317" t="s">
        <v>166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</row>
    <row r="8" spans="1:11" s="297" customFormat="1" ht="16.5" customHeight="1">
      <c r="A8" s="295" t="s">
        <v>167</v>
      </c>
      <c r="B8" s="312">
        <v>31.34</v>
      </c>
      <c r="C8" s="312">
        <v>32.91</v>
      </c>
      <c r="D8" s="303">
        <v>35.08</v>
      </c>
      <c r="E8" s="303">
        <v>36.94</v>
      </c>
      <c r="F8" s="303">
        <v>50.83</v>
      </c>
      <c r="G8" s="303">
        <v>52.81</v>
      </c>
      <c r="H8" s="303">
        <v>54.87</v>
      </c>
      <c r="I8" s="304">
        <v>56.9</v>
      </c>
      <c r="J8" s="304">
        <f>56.85*(1+3.9%)</f>
        <v>59.06715</v>
      </c>
      <c r="K8" s="304">
        <f>J8*(1+20%)</f>
        <v>70.88058</v>
      </c>
    </row>
    <row r="9" spans="1:11" s="297" customFormat="1" ht="16.5" customHeight="1">
      <c r="A9" s="295" t="s">
        <v>247</v>
      </c>
      <c r="B9" s="312"/>
      <c r="C9" s="312"/>
      <c r="D9" s="303">
        <v>39.83</v>
      </c>
      <c r="E9" s="303">
        <v>41.94</v>
      </c>
      <c r="F9" s="303">
        <v>59.09</v>
      </c>
      <c r="G9" s="303">
        <v>61.39</v>
      </c>
      <c r="H9" s="303">
        <v>63.78</v>
      </c>
      <c r="I9" s="304">
        <v>63.78</v>
      </c>
      <c r="J9" s="304">
        <f>66.08*(1+3.9%)</f>
        <v>68.65711999999999</v>
      </c>
      <c r="K9" s="304">
        <f aca="true" t="shared" si="0" ref="K9:K17">J9*(1+20%)</f>
        <v>82.38854399999998</v>
      </c>
    </row>
    <row r="10" spans="1:11" s="297" customFormat="1" ht="16.5" customHeight="1">
      <c r="A10" s="295" t="s">
        <v>168</v>
      </c>
      <c r="B10" s="312">
        <v>35.58</v>
      </c>
      <c r="C10" s="312">
        <v>37.36</v>
      </c>
      <c r="D10" s="303">
        <v>39.83</v>
      </c>
      <c r="E10" s="303">
        <v>41.94</v>
      </c>
      <c r="F10" s="303">
        <v>59.09</v>
      </c>
      <c r="G10" s="303">
        <v>61.39</v>
      </c>
      <c r="H10" s="303">
        <v>63.78</v>
      </c>
      <c r="I10" s="304">
        <v>63.78</v>
      </c>
      <c r="J10" s="304">
        <f>66.08*(1+3.9%)</f>
        <v>68.65711999999999</v>
      </c>
      <c r="K10" s="304">
        <f t="shared" si="0"/>
        <v>82.38854399999998</v>
      </c>
    </row>
    <row r="11" spans="1:11" s="297" customFormat="1" ht="14.25" customHeight="1">
      <c r="A11" s="317" t="s">
        <v>169</v>
      </c>
      <c r="B11" s="312"/>
      <c r="C11" s="312"/>
      <c r="D11" s="303"/>
      <c r="E11" s="303"/>
      <c r="F11" s="303"/>
      <c r="G11" s="303"/>
      <c r="H11" s="303"/>
      <c r="I11" s="304"/>
      <c r="J11" s="304"/>
      <c r="K11" s="304"/>
    </row>
    <row r="12" spans="1:11" s="297" customFormat="1" ht="16.5" customHeight="1">
      <c r="A12" s="295" t="s">
        <v>167</v>
      </c>
      <c r="B12" s="313">
        <v>47</v>
      </c>
      <c r="C12" s="312">
        <v>49.35</v>
      </c>
      <c r="D12" s="303">
        <v>52.61</v>
      </c>
      <c r="E12" s="303">
        <v>55.4</v>
      </c>
      <c r="F12" s="303">
        <v>76.24</v>
      </c>
      <c r="G12" s="303">
        <v>79.22</v>
      </c>
      <c r="H12" s="305">
        <v>82.3</v>
      </c>
      <c r="I12" s="304">
        <v>82.3</v>
      </c>
      <c r="J12" s="304">
        <f>85.26*(1+3.9%)</f>
        <v>88.58514</v>
      </c>
      <c r="K12" s="304">
        <f>J12*(1+20%)</f>
        <v>106.302168</v>
      </c>
    </row>
    <row r="13" spans="1:11" s="297" customFormat="1" ht="16.5" customHeight="1">
      <c r="A13" s="295" t="s">
        <v>247</v>
      </c>
      <c r="B13" s="313"/>
      <c r="C13" s="312"/>
      <c r="D13" s="303">
        <v>5974</v>
      </c>
      <c r="E13" s="303">
        <v>62.91</v>
      </c>
      <c r="F13" s="303">
        <v>88.63</v>
      </c>
      <c r="G13" s="303">
        <v>92.08</v>
      </c>
      <c r="H13" s="305">
        <v>95.67</v>
      </c>
      <c r="I13" s="304">
        <v>95.67</v>
      </c>
      <c r="J13" s="304">
        <f>99.11*(1+3.9%)</f>
        <v>102.97528999999999</v>
      </c>
      <c r="K13" s="304">
        <f t="shared" si="0"/>
        <v>123.57034799999998</v>
      </c>
    </row>
    <row r="14" spans="1:11" s="297" customFormat="1" ht="14.25" customHeight="1">
      <c r="A14" s="295" t="s">
        <v>168</v>
      </c>
      <c r="B14" s="312">
        <v>53.37</v>
      </c>
      <c r="C14" s="312">
        <v>56.04</v>
      </c>
      <c r="D14" s="303">
        <v>59.74</v>
      </c>
      <c r="E14" s="303">
        <v>62.91</v>
      </c>
      <c r="F14" s="303">
        <v>88.63</v>
      </c>
      <c r="G14" s="303">
        <v>92.08</v>
      </c>
      <c r="H14" s="303">
        <v>95.67</v>
      </c>
      <c r="I14" s="304">
        <v>95.67</v>
      </c>
      <c r="J14" s="304">
        <f>99.11*(1+3.9%)</f>
        <v>102.97528999999999</v>
      </c>
      <c r="K14" s="304">
        <f t="shared" si="0"/>
        <v>123.57034799999998</v>
      </c>
    </row>
    <row r="15" spans="1:11" s="297" customFormat="1" ht="14.25" customHeight="1">
      <c r="A15" s="317" t="s">
        <v>205</v>
      </c>
      <c r="B15" s="312"/>
      <c r="C15" s="312"/>
      <c r="D15" s="303"/>
      <c r="E15" s="303"/>
      <c r="F15" s="303"/>
      <c r="G15" s="303"/>
      <c r="H15" s="303"/>
      <c r="I15" s="304"/>
      <c r="J15" s="304"/>
      <c r="K15" s="304"/>
    </row>
    <row r="16" spans="1:11" s="297" customFormat="1" ht="14.25" customHeight="1">
      <c r="A16" s="295" t="s">
        <v>167</v>
      </c>
      <c r="B16" s="312"/>
      <c r="C16" s="312"/>
      <c r="D16" s="303"/>
      <c r="E16" s="303"/>
      <c r="F16" s="303"/>
      <c r="G16" s="303"/>
      <c r="H16" s="303"/>
      <c r="I16" s="304">
        <v>41.15</v>
      </c>
      <c r="J16" s="304">
        <f>42.63*(1+3.9%)</f>
        <v>44.29257</v>
      </c>
      <c r="K16" s="304">
        <f t="shared" si="0"/>
        <v>53.151084</v>
      </c>
    </row>
    <row r="17" spans="1:11" s="297" customFormat="1" ht="14.25" customHeight="1">
      <c r="A17" s="295" t="s">
        <v>168</v>
      </c>
      <c r="B17" s="312"/>
      <c r="C17" s="312"/>
      <c r="D17" s="303"/>
      <c r="E17" s="303"/>
      <c r="F17" s="303"/>
      <c r="G17" s="303"/>
      <c r="H17" s="303"/>
      <c r="I17" s="304">
        <v>47.84</v>
      </c>
      <c r="J17" s="304">
        <f>49.56*(1+3.9%)</f>
        <v>51.49284</v>
      </c>
      <c r="K17" s="304">
        <f t="shared" si="0"/>
        <v>61.791408</v>
      </c>
    </row>
    <row r="18" spans="1:11" s="297" customFormat="1" ht="10.5" customHeight="1">
      <c r="A18" s="300"/>
      <c r="B18" s="300"/>
      <c r="C18" s="300"/>
      <c r="D18" s="300"/>
      <c r="E18" s="300"/>
      <c r="F18" s="300"/>
      <c r="G18" s="300"/>
      <c r="H18" s="296"/>
      <c r="I18" s="296"/>
      <c r="J18" s="296"/>
      <c r="K18" s="296"/>
    </row>
    <row r="19" spans="1:11" s="297" customFormat="1" ht="14.25" customHeight="1">
      <c r="A19" s="368" t="s">
        <v>172</v>
      </c>
      <c r="B19" s="300"/>
      <c r="C19" s="300"/>
      <c r="D19" s="300"/>
      <c r="E19" s="300"/>
      <c r="F19" s="300"/>
      <c r="G19" s="300"/>
      <c r="H19" s="296"/>
      <c r="I19" s="296"/>
      <c r="J19" s="296"/>
      <c r="K19" s="296"/>
    </row>
    <row r="20" spans="1:11" s="297" customFormat="1" ht="14.25" customHeight="1">
      <c r="A20" s="368" t="s">
        <v>173</v>
      </c>
      <c r="B20" s="300"/>
      <c r="C20" s="300"/>
      <c r="D20" s="300"/>
      <c r="E20" s="300"/>
      <c r="F20" s="300"/>
      <c r="G20" s="300"/>
      <c r="H20" s="296"/>
      <c r="I20" s="296"/>
      <c r="J20" s="296"/>
      <c r="K20" s="296"/>
    </row>
    <row r="21" spans="1:11" s="297" customFormat="1" ht="15" customHeight="1">
      <c r="A21" s="368" t="s">
        <v>174</v>
      </c>
      <c r="B21" s="300"/>
      <c r="C21" s="300"/>
      <c r="D21" s="300"/>
      <c r="E21" s="300"/>
      <c r="F21" s="300"/>
      <c r="G21" s="300"/>
      <c r="H21" s="296"/>
      <c r="I21" s="296"/>
      <c r="J21" s="296"/>
      <c r="K21" s="296"/>
    </row>
    <row r="22" spans="1:11" s="297" customFormat="1" ht="15" customHeight="1">
      <c r="A22" s="368" t="s">
        <v>175</v>
      </c>
      <c r="B22" s="300"/>
      <c r="C22" s="300"/>
      <c r="D22" s="300"/>
      <c r="E22" s="300"/>
      <c r="F22" s="300"/>
      <c r="G22" s="300"/>
      <c r="H22" s="296"/>
      <c r="I22" s="296"/>
      <c r="J22" s="296"/>
      <c r="K22" s="296"/>
    </row>
    <row r="23" spans="1:11" s="297" customFormat="1" ht="15" customHeight="1">
      <c r="A23" s="368" t="s">
        <v>188</v>
      </c>
      <c r="B23" s="300"/>
      <c r="C23" s="300"/>
      <c r="D23" s="300"/>
      <c r="E23" s="300"/>
      <c r="F23" s="300"/>
      <c r="G23" s="300"/>
      <c r="H23" s="296"/>
      <c r="I23" s="296"/>
      <c r="J23" s="296"/>
      <c r="K23" s="296"/>
    </row>
    <row r="24" spans="1:11" s="297" customFormat="1" ht="15" customHeight="1">
      <c r="A24" s="368" t="s">
        <v>249</v>
      </c>
      <c r="B24" s="300"/>
      <c r="C24" s="300"/>
      <c r="D24" s="300"/>
      <c r="E24" s="300"/>
      <c r="F24" s="300"/>
      <c r="G24" s="300"/>
      <c r="H24" s="296"/>
      <c r="I24" s="296"/>
      <c r="J24" s="296"/>
      <c r="K24" s="296"/>
    </row>
    <row r="25" spans="1:11" s="297" customFormat="1" ht="15" customHeight="1">
      <c r="A25" s="194"/>
      <c r="B25" s="300"/>
      <c r="C25" s="300"/>
      <c r="D25" s="300"/>
      <c r="E25" s="300"/>
      <c r="F25" s="300"/>
      <c r="G25" s="300"/>
      <c r="H25" s="296"/>
      <c r="I25" s="296"/>
      <c r="J25" s="296"/>
      <c r="K25" s="296"/>
    </row>
    <row r="26" spans="1:8" s="297" customFormat="1" ht="87" customHeight="1">
      <c r="A26" s="440" t="s">
        <v>204</v>
      </c>
      <c r="B26" s="441"/>
      <c r="C26" s="441"/>
      <c r="D26" s="441"/>
      <c r="E26" s="441"/>
      <c r="F26" s="302" t="s">
        <v>176</v>
      </c>
      <c r="G26" s="302" t="s">
        <v>247</v>
      </c>
      <c r="H26" s="302" t="s">
        <v>177</v>
      </c>
    </row>
    <row r="27" spans="1:8" s="297" customFormat="1" ht="66.75" customHeight="1">
      <c r="A27" s="442"/>
      <c r="B27" s="442"/>
      <c r="C27" s="442"/>
      <c r="D27" s="442"/>
      <c r="E27" s="442"/>
      <c r="F27" s="370">
        <f>K8+K12</f>
        <v>177.182748</v>
      </c>
      <c r="G27" s="370">
        <f>K10+K14</f>
        <v>205.95889199999996</v>
      </c>
      <c r="H27" s="371">
        <f>K10+K14</f>
        <v>205.95889199999996</v>
      </c>
    </row>
    <row r="28" s="297" customFormat="1" ht="20.25"/>
  </sheetData>
  <sheetProtection/>
  <mergeCells count="2">
    <mergeCell ref="A5:K5"/>
    <mergeCell ref="A26:E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W13"/>
  <sheetViews>
    <sheetView view="pageBreakPreview" zoomScale="80" zoomScaleSheetLayoutView="80" zoomScalePageLayoutView="0" workbookViewId="0" topLeftCell="A1">
      <selection activeCell="K3" sqref="K3"/>
    </sheetView>
  </sheetViews>
  <sheetFormatPr defaultColWidth="16.421875" defaultRowHeight="27.75" customHeight="1"/>
  <cols>
    <col min="1" max="1" width="19.57421875" style="68" customWidth="1"/>
    <col min="2" max="2" width="6.7109375" style="68" customWidth="1"/>
    <col min="3" max="3" width="6.8515625" style="68" customWidth="1"/>
    <col min="4" max="4" width="6.7109375" style="68" customWidth="1"/>
    <col min="5" max="11" width="7.28125" style="68" customWidth="1"/>
    <col min="12" max="13" width="8.8515625" style="68" customWidth="1"/>
    <col min="14" max="15" width="8.421875" style="68" customWidth="1"/>
    <col min="16" max="16" width="8.57421875" style="68" customWidth="1"/>
    <col min="17" max="18" width="8.421875" style="68" customWidth="1"/>
    <col min="19" max="19" width="8.7109375" style="68" customWidth="1"/>
    <col min="20" max="20" width="9.57421875" style="68" customWidth="1"/>
    <col min="21" max="21" width="56.00390625" style="68" customWidth="1"/>
    <col min="22" max="22" width="6.7109375" style="125" customWidth="1"/>
    <col min="23" max="23" width="16.421875" style="125" customWidth="1"/>
    <col min="24" max="16384" width="16.421875" style="68" customWidth="1"/>
  </cols>
  <sheetData>
    <row r="1" spans="1:21" ht="27.75" customHeight="1">
      <c r="A1" s="451" t="s">
        <v>94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</row>
    <row r="2" spans="1:11" ht="19.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21" ht="36" customHeight="1">
      <c r="A3" s="452" t="s">
        <v>92</v>
      </c>
      <c r="B3" s="446" t="s">
        <v>98</v>
      </c>
      <c r="C3" s="447"/>
      <c r="D3" s="447"/>
      <c r="E3" s="447"/>
      <c r="F3" s="447"/>
      <c r="G3" s="447"/>
      <c r="H3" s="447"/>
      <c r="I3" s="448"/>
      <c r="J3" s="449"/>
      <c r="K3" s="216"/>
      <c r="L3" s="444" t="s">
        <v>95</v>
      </c>
      <c r="M3" s="444" t="s">
        <v>96</v>
      </c>
      <c r="N3" s="444" t="s">
        <v>97</v>
      </c>
      <c r="O3" s="444" t="s">
        <v>116</v>
      </c>
      <c r="P3" s="444" t="s">
        <v>134</v>
      </c>
      <c r="Q3" s="444" t="s">
        <v>139</v>
      </c>
      <c r="R3" s="445" t="s">
        <v>151</v>
      </c>
      <c r="S3" s="445" t="s">
        <v>158</v>
      </c>
      <c r="T3" s="453" t="s">
        <v>179</v>
      </c>
      <c r="U3" s="452" t="s">
        <v>99</v>
      </c>
    </row>
    <row r="4" spans="1:23" s="69" customFormat="1" ht="28.5" customHeight="1">
      <c r="A4" s="452"/>
      <c r="B4" s="217">
        <v>2012</v>
      </c>
      <c r="C4" s="217">
        <v>2013</v>
      </c>
      <c r="D4" s="217">
        <v>2014</v>
      </c>
      <c r="E4" s="217">
        <v>2015</v>
      </c>
      <c r="F4" s="217">
        <v>2016</v>
      </c>
      <c r="G4" s="217">
        <v>2017</v>
      </c>
      <c r="H4" s="217">
        <v>2018</v>
      </c>
      <c r="I4" s="217">
        <v>2019</v>
      </c>
      <c r="J4" s="217">
        <v>2020</v>
      </c>
      <c r="K4" s="221">
        <v>2021</v>
      </c>
      <c r="L4" s="444"/>
      <c r="M4" s="444"/>
      <c r="N4" s="444"/>
      <c r="O4" s="444"/>
      <c r="P4" s="444"/>
      <c r="Q4" s="444"/>
      <c r="R4" s="445"/>
      <c r="S4" s="445"/>
      <c r="T4" s="453"/>
      <c r="U4" s="452"/>
      <c r="V4" s="162"/>
      <c r="W4" s="126"/>
    </row>
    <row r="5" spans="1:23" s="128" customFormat="1" ht="24.75" customHeight="1">
      <c r="A5" s="155">
        <v>1</v>
      </c>
      <c r="B5" s="218">
        <v>2</v>
      </c>
      <c r="C5" s="218">
        <v>3</v>
      </c>
      <c r="D5" s="218">
        <v>4</v>
      </c>
      <c r="E5" s="218">
        <v>5</v>
      </c>
      <c r="F5" s="218">
        <v>6</v>
      </c>
      <c r="G5" s="218">
        <v>7</v>
      </c>
      <c r="H5" s="218">
        <v>8</v>
      </c>
      <c r="I5" s="218">
        <v>9</v>
      </c>
      <c r="J5" s="218">
        <v>10</v>
      </c>
      <c r="K5" s="218">
        <v>11</v>
      </c>
      <c r="L5" s="231" t="s">
        <v>138</v>
      </c>
      <c r="M5" s="231" t="s">
        <v>140</v>
      </c>
      <c r="N5" s="231" t="s">
        <v>141</v>
      </c>
      <c r="O5" s="231" t="s">
        <v>142</v>
      </c>
      <c r="P5" s="231" t="s">
        <v>143</v>
      </c>
      <c r="Q5" s="231" t="s">
        <v>144</v>
      </c>
      <c r="R5" s="232" t="s">
        <v>152</v>
      </c>
      <c r="S5" s="232" t="s">
        <v>162</v>
      </c>
      <c r="T5" s="233" t="s">
        <v>180</v>
      </c>
      <c r="U5" s="155">
        <v>15</v>
      </c>
      <c r="V5" s="127"/>
      <c r="W5" s="127"/>
    </row>
    <row r="6" spans="1:22" ht="81.75" customHeight="1">
      <c r="A6" s="156" t="s">
        <v>127</v>
      </c>
      <c r="B6" s="219">
        <v>124.95</v>
      </c>
      <c r="C6" s="219">
        <v>130.24</v>
      </c>
      <c r="D6" s="219">
        <v>138.46</v>
      </c>
      <c r="E6" s="220">
        <v>157.6</v>
      </c>
      <c r="F6" s="220">
        <v>168.54</v>
      </c>
      <c r="G6" s="220">
        <v>168.54</v>
      </c>
      <c r="H6" s="220">
        <v>170.62</v>
      </c>
      <c r="I6" s="220">
        <v>177.35</v>
      </c>
      <c r="J6" s="220">
        <v>184.3</v>
      </c>
      <c r="K6" s="228">
        <f aca="true" t="shared" si="0" ref="K6:K11">J6*1.036</f>
        <v>190.93480000000002</v>
      </c>
      <c r="L6" s="163">
        <f aca="true" t="shared" si="1" ref="L6:Q6">(C6/B6*100)-100</f>
        <v>4.233693477390958</v>
      </c>
      <c r="M6" s="163">
        <f t="shared" si="1"/>
        <v>6.311425061425055</v>
      </c>
      <c r="N6" s="163">
        <f t="shared" si="1"/>
        <v>13.823486927632516</v>
      </c>
      <c r="O6" s="163">
        <f t="shared" si="1"/>
        <v>6.941624365482227</v>
      </c>
      <c r="P6" s="163">
        <f t="shared" si="1"/>
        <v>0</v>
      </c>
      <c r="Q6" s="163">
        <f t="shared" si="1"/>
        <v>1.2341283968197558</v>
      </c>
      <c r="R6" s="163">
        <f aca="true" t="shared" si="2" ref="R6:R11">I6/H6</f>
        <v>1.039444379322471</v>
      </c>
      <c r="S6" s="163">
        <f aca="true" t="shared" si="3" ref="S6:T11">J6/I6</f>
        <v>1.0391880462362562</v>
      </c>
      <c r="T6" s="163">
        <f t="shared" si="3"/>
        <v>1.036</v>
      </c>
      <c r="U6" s="157" t="s">
        <v>131</v>
      </c>
      <c r="V6" s="161">
        <f aca="true" t="shared" si="4" ref="V6:V11">J6-I6</f>
        <v>6.950000000000017</v>
      </c>
    </row>
    <row r="7" spans="1:22" ht="81.75" customHeight="1">
      <c r="A7" s="156" t="s">
        <v>128</v>
      </c>
      <c r="B7" s="219">
        <v>0</v>
      </c>
      <c r="C7" s="219">
        <v>0</v>
      </c>
      <c r="D7" s="219">
        <v>0</v>
      </c>
      <c r="E7" s="220">
        <v>0</v>
      </c>
      <c r="F7" s="220">
        <v>49.29</v>
      </c>
      <c r="G7" s="220">
        <v>49.29</v>
      </c>
      <c r="H7" s="220">
        <v>49.87</v>
      </c>
      <c r="I7" s="220">
        <v>51.15</v>
      </c>
      <c r="J7" s="220">
        <v>53.15</v>
      </c>
      <c r="K7" s="228">
        <f t="shared" si="0"/>
        <v>55.0634</v>
      </c>
      <c r="L7" s="163">
        <v>0</v>
      </c>
      <c r="M7" s="163">
        <v>0</v>
      </c>
      <c r="N7" s="163">
        <v>0</v>
      </c>
      <c r="O7" s="163">
        <v>0</v>
      </c>
      <c r="P7" s="163">
        <f aca="true" t="shared" si="5" ref="P7:Q11">(G7/F7*100)-100</f>
        <v>0</v>
      </c>
      <c r="Q7" s="163">
        <f t="shared" si="5"/>
        <v>1.1767092716575434</v>
      </c>
      <c r="R7" s="163">
        <f t="shared" si="2"/>
        <v>1.0256667335071186</v>
      </c>
      <c r="S7" s="163">
        <f t="shared" si="3"/>
        <v>1.0391006842619745</v>
      </c>
      <c r="T7" s="163">
        <f t="shared" si="3"/>
        <v>1.036</v>
      </c>
      <c r="U7" s="156" t="s">
        <v>130</v>
      </c>
      <c r="V7" s="161">
        <f t="shared" si="4"/>
        <v>2</v>
      </c>
    </row>
    <row r="8" spans="1:22" ht="43.5" customHeight="1">
      <c r="A8" s="156" t="s">
        <v>91</v>
      </c>
      <c r="B8" s="219">
        <v>237.56</v>
      </c>
      <c r="C8" s="219">
        <v>248.57</v>
      </c>
      <c r="D8" s="219">
        <v>263.84</v>
      </c>
      <c r="E8" s="220">
        <v>258.5</v>
      </c>
      <c r="F8" s="220">
        <v>279.83</v>
      </c>
      <c r="G8" s="220">
        <v>279.83</v>
      </c>
      <c r="H8" s="220">
        <v>283.61</v>
      </c>
      <c r="I8" s="220">
        <v>292.58</v>
      </c>
      <c r="J8" s="220">
        <v>304.05</v>
      </c>
      <c r="K8" s="228">
        <f t="shared" si="0"/>
        <v>314.99580000000003</v>
      </c>
      <c r="L8" s="163">
        <f>C8/B8*100-100</f>
        <v>4.634618622663737</v>
      </c>
      <c r="M8" s="163">
        <f aca="true" t="shared" si="6" ref="M8:N11">(D8/C8*100)-100</f>
        <v>6.143138753670982</v>
      </c>
      <c r="N8" s="163">
        <f t="shared" si="6"/>
        <v>-2.02395391146149</v>
      </c>
      <c r="O8" s="163">
        <f>(F8/E8*100)-100</f>
        <v>8.251450676982586</v>
      </c>
      <c r="P8" s="163">
        <f t="shared" si="5"/>
        <v>0</v>
      </c>
      <c r="Q8" s="163">
        <f t="shared" si="5"/>
        <v>1.3508201407997973</v>
      </c>
      <c r="R8" s="163">
        <f t="shared" si="2"/>
        <v>1.0316279397764534</v>
      </c>
      <c r="S8" s="163">
        <f t="shared" si="3"/>
        <v>1.0392029530384852</v>
      </c>
      <c r="T8" s="163">
        <f t="shared" si="3"/>
        <v>1.036</v>
      </c>
      <c r="U8" s="156" t="s">
        <v>132</v>
      </c>
      <c r="V8" s="161">
        <f t="shared" si="4"/>
        <v>11.470000000000027</v>
      </c>
    </row>
    <row r="9" spans="1:22" ht="62.25" customHeight="1">
      <c r="A9" s="156" t="s">
        <v>82</v>
      </c>
      <c r="B9" s="219">
        <v>215.64</v>
      </c>
      <c r="C9" s="219">
        <v>226.65</v>
      </c>
      <c r="D9" s="220">
        <v>241.9</v>
      </c>
      <c r="E9" s="220">
        <v>278.43</v>
      </c>
      <c r="F9" s="220">
        <v>279.83</v>
      </c>
      <c r="G9" s="220">
        <v>279.83</v>
      </c>
      <c r="H9" s="220">
        <v>283.61</v>
      </c>
      <c r="I9" s="220">
        <v>292.58</v>
      </c>
      <c r="J9" s="220">
        <v>304.05</v>
      </c>
      <c r="K9" s="228">
        <f t="shared" si="0"/>
        <v>314.99580000000003</v>
      </c>
      <c r="L9" s="163">
        <f>C9/B9*100-100</f>
        <v>5.105731775180871</v>
      </c>
      <c r="M9" s="163">
        <f t="shared" si="6"/>
        <v>6.728435914405466</v>
      </c>
      <c r="N9" s="163">
        <f t="shared" si="6"/>
        <v>15.101281521289806</v>
      </c>
      <c r="O9" s="163">
        <f>(F9/E9*100)-100</f>
        <v>0.5028193800955307</v>
      </c>
      <c r="P9" s="163">
        <f t="shared" si="5"/>
        <v>0</v>
      </c>
      <c r="Q9" s="163">
        <f>(H9/G9*100)-100</f>
        <v>1.3508201407997973</v>
      </c>
      <c r="R9" s="163">
        <f t="shared" si="2"/>
        <v>1.0316279397764534</v>
      </c>
      <c r="S9" s="163">
        <f t="shared" si="3"/>
        <v>1.0392029530384852</v>
      </c>
      <c r="T9" s="163">
        <f t="shared" si="3"/>
        <v>1.036</v>
      </c>
      <c r="U9" s="156" t="s">
        <v>129</v>
      </c>
      <c r="V9" s="161">
        <f t="shared" si="4"/>
        <v>11.470000000000027</v>
      </c>
    </row>
    <row r="10" spans="1:22" ht="71.25" customHeight="1">
      <c r="A10" s="156" t="s">
        <v>93</v>
      </c>
      <c r="B10" s="220">
        <v>105.2</v>
      </c>
      <c r="C10" s="220">
        <v>111</v>
      </c>
      <c r="D10" s="220">
        <v>117</v>
      </c>
      <c r="E10" s="220">
        <v>142.58</v>
      </c>
      <c r="F10" s="220">
        <v>167.9</v>
      </c>
      <c r="G10" s="220">
        <v>167.9</v>
      </c>
      <c r="H10" s="220">
        <v>170.16</v>
      </c>
      <c r="I10" s="220">
        <v>176.13</v>
      </c>
      <c r="J10" s="220">
        <v>183</v>
      </c>
      <c r="K10" s="228">
        <f t="shared" si="0"/>
        <v>189.588</v>
      </c>
      <c r="L10" s="163">
        <f>C10/B10*100-100</f>
        <v>5.513307984790856</v>
      </c>
      <c r="M10" s="163">
        <f t="shared" si="6"/>
        <v>5.405405405405389</v>
      </c>
      <c r="N10" s="163">
        <f>(E10/D10*100)-100</f>
        <v>21.863247863247864</v>
      </c>
      <c r="O10" s="163">
        <f>(F10/E10*100)-100</f>
        <v>17.758451395707667</v>
      </c>
      <c r="P10" s="163">
        <f>(G10/F10*100)-100</f>
        <v>0</v>
      </c>
      <c r="Q10" s="163">
        <f t="shared" si="5"/>
        <v>1.3460393091125695</v>
      </c>
      <c r="R10" s="163">
        <f t="shared" si="2"/>
        <v>1.0350846262341327</v>
      </c>
      <c r="S10" s="163">
        <f t="shared" si="3"/>
        <v>1.039005280190768</v>
      </c>
      <c r="T10" s="163">
        <f t="shared" si="3"/>
        <v>1.036</v>
      </c>
      <c r="U10" s="156" t="s">
        <v>133</v>
      </c>
      <c r="V10" s="161">
        <f t="shared" si="4"/>
        <v>6.8700000000000045</v>
      </c>
    </row>
    <row r="11" spans="1:22" ht="33.75" customHeight="1">
      <c r="A11" s="156" t="s">
        <v>80</v>
      </c>
      <c r="B11" s="220">
        <v>182</v>
      </c>
      <c r="C11" s="219">
        <v>190.34</v>
      </c>
      <c r="D11" s="220">
        <v>201.84</v>
      </c>
      <c r="E11" s="220">
        <v>234.85</v>
      </c>
      <c r="F11" s="220">
        <v>279.83</v>
      </c>
      <c r="G11" s="220">
        <v>279.83</v>
      </c>
      <c r="H11" s="220">
        <v>282.51</v>
      </c>
      <c r="I11" s="220">
        <v>292.59</v>
      </c>
      <c r="J11" s="220">
        <v>303.88</v>
      </c>
      <c r="K11" s="228">
        <f t="shared" si="0"/>
        <v>314.81968</v>
      </c>
      <c r="L11" s="163">
        <f>C11/B11*100-100</f>
        <v>4.582417582417577</v>
      </c>
      <c r="M11" s="163">
        <f t="shared" si="6"/>
        <v>6.041819901229388</v>
      </c>
      <c r="N11" s="163">
        <f t="shared" si="6"/>
        <v>16.354538248117322</v>
      </c>
      <c r="O11" s="163">
        <f>(F11/E11*100)-100</f>
        <v>19.152650628060456</v>
      </c>
      <c r="P11" s="163">
        <f t="shared" si="5"/>
        <v>0</v>
      </c>
      <c r="Q11" s="163">
        <f t="shared" si="5"/>
        <v>0.9577243326305336</v>
      </c>
      <c r="R11" s="163">
        <f t="shared" si="2"/>
        <v>1.035680152914941</v>
      </c>
      <c r="S11" s="163">
        <f t="shared" si="3"/>
        <v>1.0385864178543356</v>
      </c>
      <c r="T11" s="163">
        <f t="shared" si="3"/>
        <v>1.036</v>
      </c>
      <c r="U11" s="156" t="s">
        <v>126</v>
      </c>
      <c r="V11" s="161">
        <f t="shared" si="4"/>
        <v>11.29000000000002</v>
      </c>
    </row>
    <row r="13" spans="1:21" ht="18" customHeight="1">
      <c r="A13" s="450"/>
      <c r="B13" s="450"/>
      <c r="C13" s="450"/>
      <c r="D13" s="450"/>
      <c r="E13" s="450"/>
      <c r="F13" s="450"/>
      <c r="G13" s="450"/>
      <c r="H13" s="450"/>
      <c r="I13" s="450"/>
      <c r="J13" s="450"/>
      <c r="K13" s="450"/>
      <c r="L13" s="450"/>
      <c r="M13" s="450"/>
      <c r="N13" s="450"/>
      <c r="O13" s="450"/>
      <c r="P13" s="450"/>
      <c r="Q13" s="450"/>
      <c r="R13" s="450"/>
      <c r="S13" s="450"/>
      <c r="T13" s="450"/>
      <c r="U13" s="450"/>
    </row>
  </sheetData>
  <sheetProtection/>
  <mergeCells count="14">
    <mergeCell ref="A1:U1"/>
    <mergeCell ref="U3:U4"/>
    <mergeCell ref="A3:A4"/>
    <mergeCell ref="L3:L4"/>
    <mergeCell ref="M3:M4"/>
    <mergeCell ref="T3:T4"/>
    <mergeCell ref="N3:N4"/>
    <mergeCell ref="O3:O4"/>
    <mergeCell ref="P3:P4"/>
    <mergeCell ref="Q3:Q4"/>
    <mergeCell ref="R3:R4"/>
    <mergeCell ref="S3:S4"/>
    <mergeCell ref="B3:J3"/>
    <mergeCell ref="A13:U13"/>
  </mergeCells>
  <printOptions/>
  <pageMargins left="0.3937007874015748" right="0.35433070866141736" top="0.35433070866141736" bottom="0.31496062992125984" header="0.31496062992125984" footer="0.31496062992125984"/>
  <pageSetup horizontalDpi="600" verticalDpi="600" orientation="landscape" paperSize="9" scale="58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Y14"/>
  <sheetViews>
    <sheetView view="pageBreakPreview" zoomScale="80" zoomScaleSheetLayoutView="80" zoomScalePageLayoutView="0" workbookViewId="0" topLeftCell="A4">
      <selection activeCell="W11" sqref="W11"/>
    </sheetView>
  </sheetViews>
  <sheetFormatPr defaultColWidth="16.421875" defaultRowHeight="27.75" customHeight="1"/>
  <cols>
    <col min="1" max="1" width="19.57421875" style="68" customWidth="1"/>
    <col min="2" max="2" width="6.7109375" style="68" customWidth="1"/>
    <col min="3" max="3" width="6.8515625" style="68" customWidth="1"/>
    <col min="4" max="4" width="6.7109375" style="68" customWidth="1"/>
    <col min="5" max="12" width="7.28125" style="68" customWidth="1"/>
    <col min="13" max="14" width="8.8515625" style="68" customWidth="1"/>
    <col min="15" max="16" width="8.421875" style="68" customWidth="1"/>
    <col min="17" max="17" width="8.57421875" style="68" customWidth="1"/>
    <col min="18" max="19" width="8.421875" style="68" customWidth="1"/>
    <col min="20" max="20" width="8.7109375" style="68" customWidth="1"/>
    <col min="21" max="22" width="9.57421875" style="68" customWidth="1"/>
    <col min="23" max="23" width="56.00390625" style="68" customWidth="1"/>
    <col min="24" max="24" width="6.7109375" style="125" customWidth="1"/>
    <col min="25" max="25" width="16.421875" style="125" customWidth="1"/>
    <col min="26" max="16384" width="16.421875" style="68" customWidth="1"/>
  </cols>
  <sheetData>
    <row r="1" ht="27.75" customHeight="1">
      <c r="W1" s="306" t="s">
        <v>207</v>
      </c>
    </row>
    <row r="2" spans="1:23" ht="27.75" customHeight="1">
      <c r="A2" s="451" t="s">
        <v>94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</row>
    <row r="3" spans="1:12" ht="19.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23" ht="36" customHeight="1">
      <c r="A4" s="452" t="s">
        <v>92</v>
      </c>
      <c r="B4" s="446" t="s">
        <v>98</v>
      </c>
      <c r="C4" s="447"/>
      <c r="D4" s="447"/>
      <c r="E4" s="447"/>
      <c r="F4" s="447"/>
      <c r="G4" s="447"/>
      <c r="H4" s="447"/>
      <c r="I4" s="447"/>
      <c r="J4" s="447"/>
      <c r="K4" s="447"/>
      <c r="L4" s="454"/>
      <c r="M4" s="444" t="s">
        <v>95</v>
      </c>
      <c r="N4" s="444" t="s">
        <v>96</v>
      </c>
      <c r="O4" s="444" t="s">
        <v>97</v>
      </c>
      <c r="P4" s="444" t="s">
        <v>116</v>
      </c>
      <c r="Q4" s="444" t="s">
        <v>134</v>
      </c>
      <c r="R4" s="444" t="s">
        <v>139</v>
      </c>
      <c r="S4" s="445" t="s">
        <v>151</v>
      </c>
      <c r="T4" s="445" t="s">
        <v>158</v>
      </c>
      <c r="U4" s="453" t="s">
        <v>179</v>
      </c>
      <c r="V4" s="453" t="s">
        <v>201</v>
      </c>
      <c r="W4" s="452" t="s">
        <v>99</v>
      </c>
    </row>
    <row r="5" spans="1:25" s="69" customFormat="1" ht="28.5" customHeight="1">
      <c r="A5" s="452"/>
      <c r="B5" s="217">
        <v>2012</v>
      </c>
      <c r="C5" s="217">
        <v>2013</v>
      </c>
      <c r="D5" s="217">
        <v>2014</v>
      </c>
      <c r="E5" s="217">
        <v>2015</v>
      </c>
      <c r="F5" s="217">
        <v>2016</v>
      </c>
      <c r="G5" s="217">
        <v>2017</v>
      </c>
      <c r="H5" s="217">
        <v>2018</v>
      </c>
      <c r="I5" s="217">
        <v>2019</v>
      </c>
      <c r="J5" s="217">
        <v>2020</v>
      </c>
      <c r="K5" s="221">
        <v>2021</v>
      </c>
      <c r="L5" s="221">
        <v>2022</v>
      </c>
      <c r="M5" s="444"/>
      <c r="N5" s="444"/>
      <c r="O5" s="444"/>
      <c r="P5" s="444"/>
      <c r="Q5" s="444"/>
      <c r="R5" s="444"/>
      <c r="S5" s="445"/>
      <c r="T5" s="445"/>
      <c r="U5" s="453"/>
      <c r="V5" s="453"/>
      <c r="W5" s="452"/>
      <c r="X5" s="162"/>
      <c r="Y5" s="126"/>
    </row>
    <row r="6" spans="1:25" s="128" customFormat="1" ht="24.75" customHeight="1">
      <c r="A6" s="155">
        <v>1</v>
      </c>
      <c r="B6" s="218">
        <v>2</v>
      </c>
      <c r="C6" s="218">
        <v>3</v>
      </c>
      <c r="D6" s="218">
        <v>4</v>
      </c>
      <c r="E6" s="218">
        <v>5</v>
      </c>
      <c r="F6" s="218">
        <v>6</v>
      </c>
      <c r="G6" s="218">
        <v>7</v>
      </c>
      <c r="H6" s="218">
        <v>8</v>
      </c>
      <c r="I6" s="218">
        <v>9</v>
      </c>
      <c r="J6" s="218">
        <v>10</v>
      </c>
      <c r="K6" s="218">
        <v>11</v>
      </c>
      <c r="L6" s="218">
        <v>12</v>
      </c>
      <c r="M6" s="231" t="s">
        <v>138</v>
      </c>
      <c r="N6" s="231" t="s">
        <v>140</v>
      </c>
      <c r="O6" s="231" t="s">
        <v>141</v>
      </c>
      <c r="P6" s="231" t="s">
        <v>142</v>
      </c>
      <c r="Q6" s="231" t="s">
        <v>143</v>
      </c>
      <c r="R6" s="231" t="s">
        <v>144</v>
      </c>
      <c r="S6" s="232" t="s">
        <v>152</v>
      </c>
      <c r="T6" s="232" t="s">
        <v>162</v>
      </c>
      <c r="U6" s="233" t="s">
        <v>180</v>
      </c>
      <c r="V6" s="233" t="s">
        <v>202</v>
      </c>
      <c r="W6" s="155">
        <v>15</v>
      </c>
      <c r="X6" s="127"/>
      <c r="Y6" s="127"/>
    </row>
    <row r="7" spans="1:24" ht="81.75" customHeight="1">
      <c r="A7" s="156" t="s">
        <v>127</v>
      </c>
      <c r="B7" s="219">
        <v>124.95</v>
      </c>
      <c r="C7" s="219">
        <v>130.24</v>
      </c>
      <c r="D7" s="219">
        <v>138.46</v>
      </c>
      <c r="E7" s="220">
        <v>157.6</v>
      </c>
      <c r="F7" s="220">
        <v>168.54</v>
      </c>
      <c r="G7" s="220">
        <v>168.54</v>
      </c>
      <c r="H7" s="220">
        <v>170.62</v>
      </c>
      <c r="I7" s="220">
        <v>177.35</v>
      </c>
      <c r="J7" s="220">
        <v>184.3</v>
      </c>
      <c r="K7" s="228">
        <f aca="true" t="shared" si="0" ref="K7:K12">J7*1.036</f>
        <v>190.93480000000002</v>
      </c>
      <c r="L7" s="228">
        <v>198.37</v>
      </c>
      <c r="M7" s="163">
        <f aca="true" t="shared" si="1" ref="M7:R7">(C7/B7*100)-100</f>
        <v>4.233693477390958</v>
      </c>
      <c r="N7" s="163">
        <f t="shared" si="1"/>
        <v>6.311425061425055</v>
      </c>
      <c r="O7" s="163">
        <f t="shared" si="1"/>
        <v>13.823486927632516</v>
      </c>
      <c r="P7" s="163">
        <f t="shared" si="1"/>
        <v>6.941624365482227</v>
      </c>
      <c r="Q7" s="163">
        <f t="shared" si="1"/>
        <v>0</v>
      </c>
      <c r="R7" s="163">
        <f t="shared" si="1"/>
        <v>1.2341283968197558</v>
      </c>
      <c r="S7" s="163">
        <f aca="true" t="shared" si="2" ref="S7:U12">I7/H7</f>
        <v>1.039444379322471</v>
      </c>
      <c r="T7" s="163">
        <f t="shared" si="2"/>
        <v>1.0391880462362562</v>
      </c>
      <c r="U7" s="163">
        <f t="shared" si="2"/>
        <v>1.036</v>
      </c>
      <c r="V7" s="163">
        <v>1.039</v>
      </c>
      <c r="W7" s="157" t="s">
        <v>131</v>
      </c>
      <c r="X7" s="161">
        <f aca="true" t="shared" si="3" ref="X7:X12">J7-I7</f>
        <v>6.950000000000017</v>
      </c>
    </row>
    <row r="8" spans="1:24" ht="81.75" customHeight="1">
      <c r="A8" s="156" t="s">
        <v>128</v>
      </c>
      <c r="B8" s="219">
        <v>0</v>
      </c>
      <c r="C8" s="219">
        <v>0</v>
      </c>
      <c r="D8" s="219">
        <v>0</v>
      </c>
      <c r="E8" s="220">
        <v>0</v>
      </c>
      <c r="F8" s="220">
        <v>49.29</v>
      </c>
      <c r="G8" s="220">
        <v>49.29</v>
      </c>
      <c r="H8" s="220">
        <v>49.87</v>
      </c>
      <c r="I8" s="220">
        <v>51.15</v>
      </c>
      <c r="J8" s="220">
        <v>53.15</v>
      </c>
      <c r="K8" s="228">
        <f t="shared" si="0"/>
        <v>55.0634</v>
      </c>
      <c r="L8" s="228">
        <v>57.2</v>
      </c>
      <c r="M8" s="163">
        <v>0</v>
      </c>
      <c r="N8" s="163">
        <v>0</v>
      </c>
      <c r="O8" s="163">
        <v>0</v>
      </c>
      <c r="P8" s="163">
        <v>0</v>
      </c>
      <c r="Q8" s="163">
        <f aca="true" t="shared" si="4" ref="Q8:R12">(G8/F8*100)-100</f>
        <v>0</v>
      </c>
      <c r="R8" s="163">
        <f t="shared" si="4"/>
        <v>1.1767092716575434</v>
      </c>
      <c r="S8" s="163">
        <f t="shared" si="2"/>
        <v>1.0256667335071186</v>
      </c>
      <c r="T8" s="163">
        <f t="shared" si="2"/>
        <v>1.0391006842619745</v>
      </c>
      <c r="U8" s="163">
        <f t="shared" si="2"/>
        <v>1.036</v>
      </c>
      <c r="V8" s="163">
        <v>0</v>
      </c>
      <c r="W8" s="156" t="s">
        <v>130</v>
      </c>
      <c r="X8" s="161">
        <f t="shared" si="3"/>
        <v>2</v>
      </c>
    </row>
    <row r="9" spans="1:24" ht="43.5" customHeight="1">
      <c r="A9" s="156" t="s">
        <v>91</v>
      </c>
      <c r="B9" s="219">
        <v>237.56</v>
      </c>
      <c r="C9" s="219">
        <v>248.57</v>
      </c>
      <c r="D9" s="219">
        <v>263.84</v>
      </c>
      <c r="E9" s="220">
        <v>258.5</v>
      </c>
      <c r="F9" s="220">
        <v>279.83</v>
      </c>
      <c r="G9" s="220">
        <v>279.83</v>
      </c>
      <c r="H9" s="220">
        <v>283.61</v>
      </c>
      <c r="I9" s="220">
        <v>292.58</v>
      </c>
      <c r="J9" s="220">
        <v>304.05</v>
      </c>
      <c r="K9" s="228">
        <f t="shared" si="0"/>
        <v>314.99580000000003</v>
      </c>
      <c r="L9" s="228">
        <v>327.28</v>
      </c>
      <c r="M9" s="163">
        <f>C9/B9*100-100</f>
        <v>4.634618622663737</v>
      </c>
      <c r="N9" s="163">
        <f aca="true" t="shared" si="5" ref="N9:O12">(D9/C9*100)-100</f>
        <v>6.143138753670982</v>
      </c>
      <c r="O9" s="163">
        <f t="shared" si="5"/>
        <v>-2.02395391146149</v>
      </c>
      <c r="P9" s="163">
        <f>(F9/E9*100)-100</f>
        <v>8.251450676982586</v>
      </c>
      <c r="Q9" s="163">
        <f t="shared" si="4"/>
        <v>0</v>
      </c>
      <c r="R9" s="163">
        <f t="shared" si="4"/>
        <v>1.3508201407997973</v>
      </c>
      <c r="S9" s="163">
        <f t="shared" si="2"/>
        <v>1.0316279397764534</v>
      </c>
      <c r="T9" s="163">
        <f t="shared" si="2"/>
        <v>1.0392029530384852</v>
      </c>
      <c r="U9" s="163">
        <f t="shared" si="2"/>
        <v>1.036</v>
      </c>
      <c r="V9" s="163">
        <v>1.039</v>
      </c>
      <c r="W9" s="156" t="s">
        <v>132</v>
      </c>
      <c r="X9" s="161">
        <f t="shared" si="3"/>
        <v>11.470000000000027</v>
      </c>
    </row>
    <row r="10" spans="1:24" ht="62.25" customHeight="1">
      <c r="A10" s="156" t="s">
        <v>82</v>
      </c>
      <c r="B10" s="219">
        <v>215.64</v>
      </c>
      <c r="C10" s="219">
        <v>226.65</v>
      </c>
      <c r="D10" s="220">
        <v>241.9</v>
      </c>
      <c r="E10" s="220">
        <v>278.43</v>
      </c>
      <c r="F10" s="220">
        <v>279.83</v>
      </c>
      <c r="G10" s="220">
        <v>279.83</v>
      </c>
      <c r="H10" s="220">
        <v>283.61</v>
      </c>
      <c r="I10" s="220">
        <v>292.58</v>
      </c>
      <c r="J10" s="220">
        <v>304.05</v>
      </c>
      <c r="K10" s="228">
        <f t="shared" si="0"/>
        <v>314.99580000000003</v>
      </c>
      <c r="L10" s="228">
        <v>327.28</v>
      </c>
      <c r="M10" s="163">
        <f>C10/B10*100-100</f>
        <v>5.105731775180871</v>
      </c>
      <c r="N10" s="163">
        <f t="shared" si="5"/>
        <v>6.728435914405466</v>
      </c>
      <c r="O10" s="163">
        <f t="shared" si="5"/>
        <v>15.101281521289806</v>
      </c>
      <c r="P10" s="163">
        <f>(F10/E10*100)-100</f>
        <v>0.5028193800955307</v>
      </c>
      <c r="Q10" s="163">
        <f t="shared" si="4"/>
        <v>0</v>
      </c>
      <c r="R10" s="163">
        <f t="shared" si="4"/>
        <v>1.3508201407997973</v>
      </c>
      <c r="S10" s="163">
        <f t="shared" si="2"/>
        <v>1.0316279397764534</v>
      </c>
      <c r="T10" s="163">
        <f t="shared" si="2"/>
        <v>1.0392029530384852</v>
      </c>
      <c r="U10" s="163">
        <f t="shared" si="2"/>
        <v>1.036</v>
      </c>
      <c r="V10" s="163">
        <v>1.039</v>
      </c>
      <c r="W10" s="156" t="s">
        <v>129</v>
      </c>
      <c r="X10" s="161">
        <f t="shared" si="3"/>
        <v>11.470000000000027</v>
      </c>
    </row>
    <row r="11" spans="1:24" ht="71.25" customHeight="1">
      <c r="A11" s="156" t="s">
        <v>93</v>
      </c>
      <c r="B11" s="220">
        <v>105.2</v>
      </c>
      <c r="C11" s="220">
        <v>111</v>
      </c>
      <c r="D11" s="220">
        <v>117</v>
      </c>
      <c r="E11" s="220">
        <v>142.58</v>
      </c>
      <c r="F11" s="220">
        <v>167.9</v>
      </c>
      <c r="G11" s="220">
        <v>167.9</v>
      </c>
      <c r="H11" s="220">
        <v>170.16</v>
      </c>
      <c r="I11" s="220">
        <v>176.13</v>
      </c>
      <c r="J11" s="220">
        <v>183</v>
      </c>
      <c r="K11" s="228">
        <f t="shared" si="0"/>
        <v>189.588</v>
      </c>
      <c r="L11" s="228">
        <v>196.98</v>
      </c>
      <c r="M11" s="163">
        <f>C11/B11*100-100</f>
        <v>5.513307984790856</v>
      </c>
      <c r="N11" s="163">
        <f t="shared" si="5"/>
        <v>5.405405405405389</v>
      </c>
      <c r="O11" s="163">
        <f>(E11/D11*100)-100</f>
        <v>21.863247863247864</v>
      </c>
      <c r="P11" s="163">
        <f>(F11/E11*100)-100</f>
        <v>17.758451395707667</v>
      </c>
      <c r="Q11" s="163">
        <f t="shared" si="4"/>
        <v>0</v>
      </c>
      <c r="R11" s="163">
        <f t="shared" si="4"/>
        <v>1.3460393091125695</v>
      </c>
      <c r="S11" s="163">
        <f t="shared" si="2"/>
        <v>1.0350846262341327</v>
      </c>
      <c r="T11" s="163">
        <f t="shared" si="2"/>
        <v>1.039005280190768</v>
      </c>
      <c r="U11" s="163">
        <f t="shared" si="2"/>
        <v>1.036</v>
      </c>
      <c r="V11" s="163">
        <v>1.039</v>
      </c>
      <c r="W11" s="156" t="s">
        <v>133</v>
      </c>
      <c r="X11" s="161">
        <f t="shared" si="3"/>
        <v>6.8700000000000045</v>
      </c>
    </row>
    <row r="12" spans="1:24" ht="33.75" customHeight="1">
      <c r="A12" s="156" t="s">
        <v>80</v>
      </c>
      <c r="B12" s="220">
        <v>182</v>
      </c>
      <c r="C12" s="219">
        <v>190.34</v>
      </c>
      <c r="D12" s="220">
        <v>201.84</v>
      </c>
      <c r="E12" s="220">
        <v>234.85</v>
      </c>
      <c r="F12" s="220">
        <v>279.83</v>
      </c>
      <c r="G12" s="220">
        <v>279.83</v>
      </c>
      <c r="H12" s="220">
        <v>282.51</v>
      </c>
      <c r="I12" s="220">
        <v>292.59</v>
      </c>
      <c r="J12" s="220">
        <v>303.88</v>
      </c>
      <c r="K12" s="228">
        <f t="shared" si="0"/>
        <v>314.81968</v>
      </c>
      <c r="L12" s="228">
        <v>327.09</v>
      </c>
      <c r="M12" s="163">
        <f>C12/B12*100-100</f>
        <v>4.582417582417577</v>
      </c>
      <c r="N12" s="163">
        <f t="shared" si="5"/>
        <v>6.041819901229388</v>
      </c>
      <c r="O12" s="163">
        <f t="shared" si="5"/>
        <v>16.354538248117322</v>
      </c>
      <c r="P12" s="163">
        <f>(F12/E12*100)-100</f>
        <v>19.152650628060456</v>
      </c>
      <c r="Q12" s="163">
        <f t="shared" si="4"/>
        <v>0</v>
      </c>
      <c r="R12" s="163">
        <f t="shared" si="4"/>
        <v>0.9577243326305336</v>
      </c>
      <c r="S12" s="163">
        <f t="shared" si="2"/>
        <v>1.035680152914941</v>
      </c>
      <c r="T12" s="163">
        <f t="shared" si="2"/>
        <v>1.0385864178543356</v>
      </c>
      <c r="U12" s="163">
        <f t="shared" si="2"/>
        <v>1.036</v>
      </c>
      <c r="V12" s="163">
        <v>1.039</v>
      </c>
      <c r="W12" s="156" t="s">
        <v>126</v>
      </c>
      <c r="X12" s="161">
        <f t="shared" si="3"/>
        <v>11.29000000000002</v>
      </c>
    </row>
    <row r="14" spans="1:23" ht="18" customHeight="1">
      <c r="A14" s="450"/>
      <c r="B14" s="450"/>
      <c r="C14" s="450"/>
      <c r="D14" s="450"/>
      <c r="E14" s="450"/>
      <c r="F14" s="450"/>
      <c r="G14" s="450"/>
      <c r="H14" s="450"/>
      <c r="I14" s="450"/>
      <c r="J14" s="450"/>
      <c r="K14" s="450"/>
      <c r="L14" s="450"/>
      <c r="M14" s="450"/>
      <c r="N14" s="450"/>
      <c r="O14" s="450"/>
      <c r="P14" s="450"/>
      <c r="Q14" s="450"/>
      <c r="R14" s="450"/>
      <c r="S14" s="450"/>
      <c r="T14" s="450"/>
      <c r="U14" s="450"/>
      <c r="V14" s="450"/>
      <c r="W14" s="450"/>
    </row>
  </sheetData>
  <sheetProtection/>
  <mergeCells count="15">
    <mergeCell ref="Q4:Q5"/>
    <mergeCell ref="R4:R5"/>
    <mergeCell ref="S4:S5"/>
    <mergeCell ref="T4:T5"/>
    <mergeCell ref="U4:U5"/>
    <mergeCell ref="W4:W5"/>
    <mergeCell ref="A14:W14"/>
    <mergeCell ref="B4:L4"/>
    <mergeCell ref="V4:V5"/>
    <mergeCell ref="A2:W2"/>
    <mergeCell ref="A4:A5"/>
    <mergeCell ref="M4:M5"/>
    <mergeCell ref="N4:N5"/>
    <mergeCell ref="O4:O5"/>
    <mergeCell ref="P4:P5"/>
  </mergeCells>
  <printOptions/>
  <pageMargins left="0.3937007874015748" right="0.35433070866141736" top="0.35433070866141736" bottom="0.31496062992125984" header="0.31496062992125984" footer="0.31496062992125984"/>
  <pageSetup horizontalDpi="600" verticalDpi="600" orientation="landscape" paperSize="9" scale="58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Y14"/>
  <sheetViews>
    <sheetView view="pageBreakPreview" zoomScale="80" zoomScaleSheetLayoutView="80" zoomScalePageLayoutView="0" workbookViewId="0" topLeftCell="A2">
      <selection activeCell="V13" sqref="V13"/>
    </sheetView>
  </sheetViews>
  <sheetFormatPr defaultColWidth="16.421875" defaultRowHeight="27.75" customHeight="1"/>
  <cols>
    <col min="1" max="1" width="19.57421875" style="68" customWidth="1"/>
    <col min="2" max="2" width="6.7109375" style="68" customWidth="1"/>
    <col min="3" max="3" width="6.8515625" style="68" customWidth="1"/>
    <col min="4" max="4" width="6.7109375" style="68" customWidth="1"/>
    <col min="5" max="12" width="7.28125" style="68" customWidth="1"/>
    <col min="13" max="14" width="8.8515625" style="68" customWidth="1"/>
    <col min="15" max="16" width="8.421875" style="68" customWidth="1"/>
    <col min="17" max="17" width="8.57421875" style="68" customWidth="1"/>
    <col min="18" max="19" width="8.421875" style="68" customWidth="1"/>
    <col min="20" max="20" width="8.7109375" style="68" customWidth="1"/>
    <col min="21" max="22" width="9.57421875" style="68" customWidth="1"/>
    <col min="23" max="23" width="56.00390625" style="68" customWidth="1"/>
    <col min="24" max="24" width="6.7109375" style="125" customWidth="1"/>
    <col min="25" max="25" width="16.421875" style="125" customWidth="1"/>
    <col min="26" max="16384" width="16.421875" style="68" customWidth="1"/>
  </cols>
  <sheetData>
    <row r="1" ht="27.75" customHeight="1">
      <c r="W1" s="306" t="s">
        <v>207</v>
      </c>
    </row>
    <row r="2" spans="1:23" ht="27.75" customHeight="1">
      <c r="A2" s="451" t="s">
        <v>94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</row>
    <row r="3" spans="1:12" ht="19.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23" ht="36" customHeight="1">
      <c r="A4" s="452" t="s">
        <v>92</v>
      </c>
      <c r="B4" s="446" t="s">
        <v>98</v>
      </c>
      <c r="C4" s="447"/>
      <c r="D4" s="447"/>
      <c r="E4" s="447"/>
      <c r="F4" s="447"/>
      <c r="G4" s="447"/>
      <c r="H4" s="447"/>
      <c r="I4" s="447"/>
      <c r="J4" s="447"/>
      <c r="K4" s="447"/>
      <c r="L4" s="454"/>
      <c r="M4" s="444" t="s">
        <v>95</v>
      </c>
      <c r="N4" s="444" t="s">
        <v>96</v>
      </c>
      <c r="O4" s="444" t="s">
        <v>97</v>
      </c>
      <c r="P4" s="444" t="s">
        <v>116</v>
      </c>
      <c r="Q4" s="444" t="s">
        <v>134</v>
      </c>
      <c r="R4" s="444" t="s">
        <v>139</v>
      </c>
      <c r="S4" s="445" t="s">
        <v>151</v>
      </c>
      <c r="T4" s="445" t="s">
        <v>158</v>
      </c>
      <c r="U4" s="453" t="s">
        <v>179</v>
      </c>
      <c r="V4" s="453" t="s">
        <v>201</v>
      </c>
      <c r="W4" s="452" t="s">
        <v>99</v>
      </c>
    </row>
    <row r="5" spans="1:25" s="69" customFormat="1" ht="28.5" customHeight="1">
      <c r="A5" s="452"/>
      <c r="B5" s="217">
        <v>2012</v>
      </c>
      <c r="C5" s="217">
        <v>2013</v>
      </c>
      <c r="D5" s="217">
        <v>2014</v>
      </c>
      <c r="E5" s="217">
        <v>2015</v>
      </c>
      <c r="F5" s="217">
        <v>2016</v>
      </c>
      <c r="G5" s="217">
        <v>2017</v>
      </c>
      <c r="H5" s="217">
        <v>2018</v>
      </c>
      <c r="I5" s="217">
        <v>2019</v>
      </c>
      <c r="J5" s="217">
        <v>2020</v>
      </c>
      <c r="K5" s="221">
        <v>2021</v>
      </c>
      <c r="L5" s="221">
        <v>2022</v>
      </c>
      <c r="M5" s="444"/>
      <c r="N5" s="444"/>
      <c r="O5" s="444"/>
      <c r="P5" s="444"/>
      <c r="Q5" s="444"/>
      <c r="R5" s="444"/>
      <c r="S5" s="445"/>
      <c r="T5" s="445"/>
      <c r="U5" s="453"/>
      <c r="V5" s="453"/>
      <c r="W5" s="452"/>
      <c r="X5" s="162"/>
      <c r="Y5" s="126"/>
    </row>
    <row r="6" spans="1:25" s="128" customFormat="1" ht="24.75" customHeight="1">
      <c r="A6" s="155">
        <v>1</v>
      </c>
      <c r="B6" s="218">
        <v>2</v>
      </c>
      <c r="C6" s="218">
        <v>3</v>
      </c>
      <c r="D6" s="218">
        <v>4</v>
      </c>
      <c r="E6" s="218">
        <v>5</v>
      </c>
      <c r="F6" s="218">
        <v>6</v>
      </c>
      <c r="G6" s="218">
        <v>7</v>
      </c>
      <c r="H6" s="218">
        <v>8</v>
      </c>
      <c r="I6" s="218">
        <v>9</v>
      </c>
      <c r="J6" s="218">
        <v>10</v>
      </c>
      <c r="K6" s="218">
        <v>11</v>
      </c>
      <c r="L6" s="218">
        <v>12</v>
      </c>
      <c r="M6" s="231" t="s">
        <v>138</v>
      </c>
      <c r="N6" s="231" t="s">
        <v>140</v>
      </c>
      <c r="O6" s="231" t="s">
        <v>141</v>
      </c>
      <c r="P6" s="231" t="s">
        <v>142</v>
      </c>
      <c r="Q6" s="231" t="s">
        <v>143</v>
      </c>
      <c r="R6" s="231" t="s">
        <v>144</v>
      </c>
      <c r="S6" s="232" t="s">
        <v>152</v>
      </c>
      <c r="T6" s="232" t="s">
        <v>162</v>
      </c>
      <c r="U6" s="233" t="s">
        <v>180</v>
      </c>
      <c r="V6" s="233" t="s">
        <v>202</v>
      </c>
      <c r="W6" s="155">
        <v>15</v>
      </c>
      <c r="X6" s="127"/>
      <c r="Y6" s="127"/>
    </row>
    <row r="7" spans="1:24" ht="81.75" customHeight="1">
      <c r="A7" s="156" t="s">
        <v>127</v>
      </c>
      <c r="B7" s="219">
        <v>124.95</v>
      </c>
      <c r="C7" s="219">
        <v>130.24</v>
      </c>
      <c r="D7" s="219">
        <v>138.46</v>
      </c>
      <c r="E7" s="220">
        <v>157.6</v>
      </c>
      <c r="F7" s="220">
        <v>168.54</v>
      </c>
      <c r="G7" s="220">
        <v>168.54</v>
      </c>
      <c r="H7" s="220">
        <v>170.62</v>
      </c>
      <c r="I7" s="220">
        <v>177.35</v>
      </c>
      <c r="J7" s="220">
        <v>184.3</v>
      </c>
      <c r="K7" s="228">
        <f aca="true" t="shared" si="0" ref="K7:K12">J7*1.036</f>
        <v>190.93480000000002</v>
      </c>
      <c r="L7" s="228">
        <v>264.58</v>
      </c>
      <c r="M7" s="163">
        <f aca="true" t="shared" si="1" ref="M7:R7">(C7/B7*100)-100</f>
        <v>4.233693477390958</v>
      </c>
      <c r="N7" s="163">
        <f t="shared" si="1"/>
        <v>6.311425061425055</v>
      </c>
      <c r="O7" s="163">
        <f t="shared" si="1"/>
        <v>13.823486927632516</v>
      </c>
      <c r="P7" s="163">
        <f t="shared" si="1"/>
        <v>6.941624365482227</v>
      </c>
      <c r="Q7" s="163">
        <f t="shared" si="1"/>
        <v>0</v>
      </c>
      <c r="R7" s="163">
        <f t="shared" si="1"/>
        <v>1.2341283968197558</v>
      </c>
      <c r="S7" s="163">
        <f aca="true" t="shared" si="2" ref="S7:U12">I7/H7</f>
        <v>1.039444379322471</v>
      </c>
      <c r="T7" s="163">
        <f t="shared" si="2"/>
        <v>1.0391880462362562</v>
      </c>
      <c r="U7" s="163">
        <f t="shared" si="2"/>
        <v>1.036</v>
      </c>
      <c r="V7" s="163">
        <v>1.39</v>
      </c>
      <c r="W7" s="157" t="s">
        <v>131</v>
      </c>
      <c r="X7" s="161">
        <f aca="true" t="shared" si="3" ref="X7:X12">J7-I7</f>
        <v>6.950000000000017</v>
      </c>
    </row>
    <row r="8" spans="1:24" ht="81.75" customHeight="1">
      <c r="A8" s="156" t="s">
        <v>128</v>
      </c>
      <c r="B8" s="219">
        <v>0</v>
      </c>
      <c r="C8" s="219">
        <v>0</v>
      </c>
      <c r="D8" s="219">
        <v>0</v>
      </c>
      <c r="E8" s="220">
        <v>0</v>
      </c>
      <c r="F8" s="220">
        <v>49.29</v>
      </c>
      <c r="G8" s="220">
        <v>49.29</v>
      </c>
      <c r="H8" s="220">
        <v>49.87</v>
      </c>
      <c r="I8" s="220">
        <v>51.15</v>
      </c>
      <c r="J8" s="220">
        <v>53.15</v>
      </c>
      <c r="K8" s="228">
        <f t="shared" si="0"/>
        <v>55.0634</v>
      </c>
      <c r="L8" s="228">
        <v>69.49</v>
      </c>
      <c r="M8" s="163">
        <v>0</v>
      </c>
      <c r="N8" s="163">
        <v>0</v>
      </c>
      <c r="O8" s="163">
        <v>0</v>
      </c>
      <c r="P8" s="163">
        <v>0</v>
      </c>
      <c r="Q8" s="163">
        <f aca="true" t="shared" si="4" ref="Q8:R12">(G8/F8*100)-100</f>
        <v>0</v>
      </c>
      <c r="R8" s="163">
        <f t="shared" si="4"/>
        <v>1.1767092716575434</v>
      </c>
      <c r="S8" s="163">
        <f t="shared" si="2"/>
        <v>1.0256667335071186</v>
      </c>
      <c r="T8" s="163">
        <f t="shared" si="2"/>
        <v>1.0391006842619745</v>
      </c>
      <c r="U8" s="163">
        <f t="shared" si="2"/>
        <v>1.036</v>
      </c>
      <c r="V8" s="163">
        <v>1.26</v>
      </c>
      <c r="W8" s="156" t="s">
        <v>130</v>
      </c>
      <c r="X8" s="161">
        <f t="shared" si="3"/>
        <v>2</v>
      </c>
    </row>
    <row r="9" spans="1:24" ht="43.5" customHeight="1">
      <c r="A9" s="156" t="s">
        <v>91</v>
      </c>
      <c r="B9" s="219">
        <v>237.56</v>
      </c>
      <c r="C9" s="219">
        <v>248.57</v>
      </c>
      <c r="D9" s="219">
        <v>263.84</v>
      </c>
      <c r="E9" s="220">
        <v>258.5</v>
      </c>
      <c r="F9" s="220">
        <v>279.83</v>
      </c>
      <c r="G9" s="220">
        <v>279.83</v>
      </c>
      <c r="H9" s="220">
        <v>283.61</v>
      </c>
      <c r="I9" s="220">
        <v>292.58</v>
      </c>
      <c r="J9" s="220">
        <v>304.05</v>
      </c>
      <c r="K9" s="228">
        <f t="shared" si="0"/>
        <v>314.99580000000003</v>
      </c>
      <c r="L9" s="228">
        <v>373.06</v>
      </c>
      <c r="M9" s="163">
        <f>C9/B9*100-100</f>
        <v>4.634618622663737</v>
      </c>
      <c r="N9" s="163">
        <f aca="true" t="shared" si="5" ref="N9:O12">(D9/C9*100)-100</f>
        <v>6.143138753670982</v>
      </c>
      <c r="O9" s="163">
        <f t="shared" si="5"/>
        <v>-2.02395391146149</v>
      </c>
      <c r="P9" s="163">
        <f>(F9/E9*100)-100</f>
        <v>8.251450676982586</v>
      </c>
      <c r="Q9" s="163">
        <f t="shared" si="4"/>
        <v>0</v>
      </c>
      <c r="R9" s="163">
        <f t="shared" si="4"/>
        <v>1.3508201407997973</v>
      </c>
      <c r="S9" s="163">
        <f t="shared" si="2"/>
        <v>1.0316279397764534</v>
      </c>
      <c r="T9" s="163">
        <f t="shared" si="2"/>
        <v>1.0392029530384852</v>
      </c>
      <c r="U9" s="163">
        <f t="shared" si="2"/>
        <v>1.036</v>
      </c>
      <c r="V9" s="163">
        <v>1.18</v>
      </c>
      <c r="W9" s="156" t="s">
        <v>132</v>
      </c>
      <c r="X9" s="161">
        <f t="shared" si="3"/>
        <v>11.470000000000027</v>
      </c>
    </row>
    <row r="10" spans="1:24" ht="62.25" customHeight="1">
      <c r="A10" s="156" t="s">
        <v>82</v>
      </c>
      <c r="B10" s="219">
        <v>215.64</v>
      </c>
      <c r="C10" s="219">
        <v>226.65</v>
      </c>
      <c r="D10" s="220">
        <v>241.9</v>
      </c>
      <c r="E10" s="220">
        <v>278.43</v>
      </c>
      <c r="F10" s="220">
        <v>279.83</v>
      </c>
      <c r="G10" s="220">
        <v>279.83</v>
      </c>
      <c r="H10" s="220">
        <v>283.61</v>
      </c>
      <c r="I10" s="220">
        <v>292.58</v>
      </c>
      <c r="J10" s="220">
        <v>304.05</v>
      </c>
      <c r="K10" s="228">
        <f t="shared" si="0"/>
        <v>314.99580000000003</v>
      </c>
      <c r="L10" s="228">
        <v>373.06</v>
      </c>
      <c r="M10" s="163">
        <f>C10/B10*100-100</f>
        <v>5.105731775180871</v>
      </c>
      <c r="N10" s="163">
        <f t="shared" si="5"/>
        <v>6.728435914405466</v>
      </c>
      <c r="O10" s="163">
        <f t="shared" si="5"/>
        <v>15.101281521289806</v>
      </c>
      <c r="P10" s="163">
        <f>(F10/E10*100)-100</f>
        <v>0.5028193800955307</v>
      </c>
      <c r="Q10" s="163">
        <f t="shared" si="4"/>
        <v>0</v>
      </c>
      <c r="R10" s="163">
        <f t="shared" si="4"/>
        <v>1.3508201407997973</v>
      </c>
      <c r="S10" s="163">
        <f t="shared" si="2"/>
        <v>1.0316279397764534</v>
      </c>
      <c r="T10" s="163">
        <f t="shared" si="2"/>
        <v>1.0392029530384852</v>
      </c>
      <c r="U10" s="163">
        <f t="shared" si="2"/>
        <v>1.036</v>
      </c>
      <c r="V10" s="163">
        <v>1.18</v>
      </c>
      <c r="W10" s="156" t="s">
        <v>129</v>
      </c>
      <c r="X10" s="161">
        <f t="shared" si="3"/>
        <v>11.470000000000027</v>
      </c>
    </row>
    <row r="11" spans="1:24" ht="71.25" customHeight="1">
      <c r="A11" s="156" t="s">
        <v>93</v>
      </c>
      <c r="B11" s="220">
        <v>105.2</v>
      </c>
      <c r="C11" s="220">
        <v>111</v>
      </c>
      <c r="D11" s="220">
        <v>117</v>
      </c>
      <c r="E11" s="220">
        <v>142.58</v>
      </c>
      <c r="F11" s="220">
        <v>167.9</v>
      </c>
      <c r="G11" s="220">
        <v>167.9</v>
      </c>
      <c r="H11" s="220">
        <v>170.16</v>
      </c>
      <c r="I11" s="220">
        <v>176.13</v>
      </c>
      <c r="J11" s="220">
        <v>183</v>
      </c>
      <c r="K11" s="228">
        <f t="shared" si="0"/>
        <v>189.588</v>
      </c>
      <c r="L11" s="228">
        <v>225.61</v>
      </c>
      <c r="M11" s="163">
        <f>C11/B11*100-100</f>
        <v>5.513307984790856</v>
      </c>
      <c r="N11" s="163">
        <f t="shared" si="5"/>
        <v>5.405405405405389</v>
      </c>
      <c r="O11" s="163">
        <f>(E11/D11*100)-100</f>
        <v>21.863247863247864</v>
      </c>
      <c r="P11" s="163">
        <f>(F11/E11*100)-100</f>
        <v>17.758451395707667</v>
      </c>
      <c r="Q11" s="163">
        <f t="shared" si="4"/>
        <v>0</v>
      </c>
      <c r="R11" s="163">
        <f t="shared" si="4"/>
        <v>1.3460393091125695</v>
      </c>
      <c r="S11" s="163">
        <f t="shared" si="2"/>
        <v>1.0350846262341327</v>
      </c>
      <c r="T11" s="163">
        <f t="shared" si="2"/>
        <v>1.039005280190768</v>
      </c>
      <c r="U11" s="163">
        <f t="shared" si="2"/>
        <v>1.036</v>
      </c>
      <c r="V11" s="163">
        <v>1.19</v>
      </c>
      <c r="W11" s="156" t="s">
        <v>133</v>
      </c>
      <c r="X11" s="161">
        <f t="shared" si="3"/>
        <v>6.8700000000000045</v>
      </c>
    </row>
    <row r="12" spans="1:24" ht="33.75" customHeight="1">
      <c r="A12" s="156" t="s">
        <v>80</v>
      </c>
      <c r="B12" s="220">
        <v>182</v>
      </c>
      <c r="C12" s="219">
        <v>190.34</v>
      </c>
      <c r="D12" s="220">
        <v>201.84</v>
      </c>
      <c r="E12" s="220">
        <v>234.85</v>
      </c>
      <c r="F12" s="220">
        <v>279.83</v>
      </c>
      <c r="G12" s="220">
        <v>279.83</v>
      </c>
      <c r="H12" s="220">
        <v>282.51</v>
      </c>
      <c r="I12" s="220">
        <v>292.59</v>
      </c>
      <c r="J12" s="220">
        <v>303.88</v>
      </c>
      <c r="K12" s="228">
        <f t="shared" si="0"/>
        <v>314.81968</v>
      </c>
      <c r="L12" s="228">
        <v>375.72</v>
      </c>
      <c r="M12" s="163">
        <f>C12/B12*100-100</f>
        <v>4.582417582417577</v>
      </c>
      <c r="N12" s="163">
        <f t="shared" si="5"/>
        <v>6.041819901229388</v>
      </c>
      <c r="O12" s="163">
        <f t="shared" si="5"/>
        <v>16.354538248117322</v>
      </c>
      <c r="P12" s="163">
        <f>(F12/E12*100)-100</f>
        <v>19.152650628060456</v>
      </c>
      <c r="Q12" s="163">
        <f t="shared" si="4"/>
        <v>0</v>
      </c>
      <c r="R12" s="163">
        <f t="shared" si="4"/>
        <v>0.9577243326305336</v>
      </c>
      <c r="S12" s="163">
        <f t="shared" si="2"/>
        <v>1.035680152914941</v>
      </c>
      <c r="T12" s="163">
        <f t="shared" si="2"/>
        <v>1.0385864178543356</v>
      </c>
      <c r="U12" s="163">
        <f t="shared" si="2"/>
        <v>1.036</v>
      </c>
      <c r="V12" s="163">
        <v>1.19</v>
      </c>
      <c r="W12" s="156" t="s">
        <v>126</v>
      </c>
      <c r="X12" s="161">
        <f t="shared" si="3"/>
        <v>11.29000000000002</v>
      </c>
    </row>
    <row r="14" spans="1:23" ht="18" customHeight="1">
      <c r="A14" s="450"/>
      <c r="B14" s="450"/>
      <c r="C14" s="450"/>
      <c r="D14" s="450"/>
      <c r="E14" s="450"/>
      <c r="F14" s="450"/>
      <c r="G14" s="450"/>
      <c r="H14" s="450"/>
      <c r="I14" s="450"/>
      <c r="J14" s="450"/>
      <c r="K14" s="450"/>
      <c r="L14" s="450"/>
      <c r="M14" s="450"/>
      <c r="N14" s="450"/>
      <c r="O14" s="450"/>
      <c r="P14" s="450"/>
      <c r="Q14" s="450"/>
      <c r="R14" s="450"/>
      <c r="S14" s="450"/>
      <c r="T14" s="450"/>
      <c r="U14" s="450"/>
      <c r="V14" s="450"/>
      <c r="W14" s="450"/>
    </row>
  </sheetData>
  <sheetProtection/>
  <mergeCells count="15">
    <mergeCell ref="Q4:Q5"/>
    <mergeCell ref="R4:R5"/>
    <mergeCell ref="S4:S5"/>
    <mergeCell ref="T4:T5"/>
    <mergeCell ref="U4:U5"/>
    <mergeCell ref="V4:V5"/>
    <mergeCell ref="W4:W5"/>
    <mergeCell ref="A14:W14"/>
    <mergeCell ref="A2:W2"/>
    <mergeCell ref="A4:A5"/>
    <mergeCell ref="B4:L4"/>
    <mergeCell ref="M4:M5"/>
    <mergeCell ref="N4:N5"/>
    <mergeCell ref="O4:O5"/>
    <mergeCell ref="P4:P5"/>
  </mergeCells>
  <printOptions/>
  <pageMargins left="0.3937007874015748" right="0.35433070866141736" top="0.35433070866141736" bottom="0.31496062992125984" header="0.31496062992125984" footer="0.31496062992125984"/>
  <pageSetup horizontalDpi="600" verticalDpi="600" orientation="landscape" paperSize="9" scale="5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51"/>
  <sheetViews>
    <sheetView view="pageBreakPreview" zoomScale="90" zoomScaleSheetLayoutView="90" zoomScalePageLayoutView="0" workbookViewId="0" topLeftCell="G29">
      <selection activeCell="Q14" sqref="Q14"/>
    </sheetView>
  </sheetViews>
  <sheetFormatPr defaultColWidth="9.140625" defaultRowHeight="12.75"/>
  <cols>
    <col min="1" max="1" width="36.7109375" style="9" hidden="1" customWidth="1"/>
    <col min="2" max="3" width="11.7109375" style="9" hidden="1" customWidth="1"/>
    <col min="4" max="4" width="10.8515625" style="9" hidden="1" customWidth="1"/>
    <col min="5" max="5" width="12.8515625" style="9" hidden="1" customWidth="1"/>
    <col min="6" max="6" width="3.140625" style="9" hidden="1" customWidth="1"/>
    <col min="7" max="7" width="40.00390625" style="9" customWidth="1"/>
    <col min="8" max="9" width="11.7109375" style="9" customWidth="1"/>
    <col min="10" max="10" width="10.8515625" style="9" customWidth="1"/>
    <col min="11" max="12" width="12.8515625" style="9" customWidth="1"/>
    <col min="13" max="16384" width="9.140625" style="9" customWidth="1"/>
  </cols>
  <sheetData>
    <row r="1" spans="11:12" ht="12.75">
      <c r="K1" s="375" t="s">
        <v>153</v>
      </c>
      <c r="L1" s="375"/>
    </row>
    <row r="2" spans="7:12" ht="12.75">
      <c r="G2" s="158"/>
      <c r="J2" s="372" t="s">
        <v>146</v>
      </c>
      <c r="K2" s="372"/>
      <c r="L2" s="372"/>
    </row>
    <row r="3" spans="10:12" ht="12.75">
      <c r="J3" s="373" t="s">
        <v>147</v>
      </c>
      <c r="K3" s="373"/>
      <c r="L3" s="373"/>
    </row>
    <row r="4" spans="10:12" ht="12.75">
      <c r="J4" s="373" t="s">
        <v>148</v>
      </c>
      <c r="K4" s="373"/>
      <c r="L4" s="373"/>
    </row>
    <row r="5" spans="10:12" ht="18.75" customHeight="1">
      <c r="J5" s="373" t="s">
        <v>183</v>
      </c>
      <c r="K5" s="373"/>
      <c r="L5" s="373"/>
    </row>
    <row r="6" spans="10:12" ht="12.75">
      <c r="J6" s="374"/>
      <c r="K6" s="374"/>
      <c r="L6" s="374"/>
    </row>
    <row r="7" spans="1:12" ht="12.75">
      <c r="A7" s="3"/>
      <c r="B7" s="3"/>
      <c r="C7" s="3"/>
      <c r="D7" s="3"/>
      <c r="E7" s="3"/>
      <c r="F7" s="3"/>
      <c r="G7" s="131"/>
      <c r="H7" s="131"/>
      <c r="I7" s="131"/>
      <c r="J7" s="131"/>
      <c r="K7" s="131"/>
      <c r="L7" s="131"/>
    </row>
    <row r="8" spans="1:12" ht="12.75">
      <c r="A8" s="376" t="s">
        <v>14</v>
      </c>
      <c r="B8" s="376"/>
      <c r="C8" s="376"/>
      <c r="D8" s="376"/>
      <c r="E8" s="376"/>
      <c r="F8" s="376"/>
      <c r="G8" s="380" t="s">
        <v>14</v>
      </c>
      <c r="H8" s="380"/>
      <c r="I8" s="380"/>
      <c r="J8" s="380"/>
      <c r="K8" s="380"/>
      <c r="L8" s="380"/>
    </row>
    <row r="9" spans="1:12" ht="15" customHeight="1">
      <c r="A9" s="374" t="s">
        <v>121</v>
      </c>
      <c r="B9" s="374"/>
      <c r="C9" s="374"/>
      <c r="D9" s="374"/>
      <c r="E9" s="374"/>
      <c r="F9" s="374"/>
      <c r="G9" s="381" t="s">
        <v>121</v>
      </c>
      <c r="H9" s="381"/>
      <c r="I9" s="381"/>
      <c r="J9" s="381"/>
      <c r="K9" s="381"/>
      <c r="L9" s="381"/>
    </row>
    <row r="10" spans="1:12" ht="12.75">
      <c r="A10" s="377" t="s">
        <v>119</v>
      </c>
      <c r="B10" s="377"/>
      <c r="C10" s="377"/>
      <c r="D10" s="377"/>
      <c r="E10" s="377"/>
      <c r="F10" s="377"/>
      <c r="G10" s="380" t="s">
        <v>194</v>
      </c>
      <c r="H10" s="380"/>
      <c r="I10" s="380"/>
      <c r="J10" s="380"/>
      <c r="K10" s="380"/>
      <c r="L10" s="380"/>
    </row>
    <row r="11" spans="1:12" ht="12.75">
      <c r="A11" s="309"/>
      <c r="B11" s="309"/>
      <c r="C11" s="309"/>
      <c r="D11" s="309"/>
      <c r="E11" s="309"/>
      <c r="F11" s="309"/>
      <c r="G11" s="134"/>
      <c r="H11" s="134"/>
      <c r="I11" s="134"/>
      <c r="J11" s="134"/>
      <c r="K11" s="134"/>
      <c r="L11" s="134"/>
    </row>
    <row r="12" spans="1:12" ht="12.75">
      <c r="A12" s="378" t="s">
        <v>123</v>
      </c>
      <c r="B12" s="378"/>
      <c r="C12" s="378"/>
      <c r="D12" s="378"/>
      <c r="E12" s="378"/>
      <c r="F12" s="378"/>
      <c r="G12" s="382" t="s">
        <v>244</v>
      </c>
      <c r="H12" s="382"/>
      <c r="I12" s="382"/>
      <c r="J12" s="382"/>
      <c r="K12" s="382"/>
      <c r="L12" s="382"/>
    </row>
    <row r="13" spans="4:12" ht="13.5" thickBot="1">
      <c r="D13" s="5"/>
      <c r="E13" s="5"/>
      <c r="F13" s="5"/>
      <c r="G13" s="13"/>
      <c r="H13" s="13"/>
      <c r="I13" s="13"/>
      <c r="J13" s="130"/>
      <c r="K13" s="130"/>
      <c r="L13" s="130"/>
    </row>
    <row r="14" spans="1:12" ht="41.25" customHeight="1">
      <c r="A14" s="379" t="s">
        <v>15</v>
      </c>
      <c r="B14" s="379" t="s">
        <v>40</v>
      </c>
      <c r="C14" s="379"/>
      <c r="D14" s="379" t="s">
        <v>16</v>
      </c>
      <c r="E14" s="379" t="s">
        <v>17</v>
      </c>
      <c r="F14" s="379"/>
      <c r="G14" s="383" t="s">
        <v>15</v>
      </c>
      <c r="H14" s="383" t="s">
        <v>164</v>
      </c>
      <c r="I14" s="383"/>
      <c r="J14" s="384" t="s">
        <v>196</v>
      </c>
      <c r="K14" s="383" t="s">
        <v>17</v>
      </c>
      <c r="L14" s="383"/>
    </row>
    <row r="15" spans="1:12" ht="15" customHeight="1" thickBot="1">
      <c r="A15" s="379"/>
      <c r="B15" s="6" t="s">
        <v>18</v>
      </c>
      <c r="C15" s="6" t="s">
        <v>19</v>
      </c>
      <c r="D15" s="379"/>
      <c r="E15" s="6" t="s">
        <v>18</v>
      </c>
      <c r="F15" s="6" t="s">
        <v>19</v>
      </c>
      <c r="G15" s="383"/>
      <c r="H15" s="132" t="s">
        <v>18</v>
      </c>
      <c r="I15" s="132" t="s">
        <v>19</v>
      </c>
      <c r="J15" s="385"/>
      <c r="K15" s="132" t="s">
        <v>18</v>
      </c>
      <c r="L15" s="132" t="s">
        <v>19</v>
      </c>
    </row>
    <row r="16" spans="1:12" ht="40.5" customHeight="1">
      <c r="A16" s="65" t="s">
        <v>159</v>
      </c>
      <c r="B16" s="89">
        <v>390</v>
      </c>
      <c r="C16" s="89">
        <v>450</v>
      </c>
      <c r="D16" s="92">
        <v>67</v>
      </c>
      <c r="E16" s="7">
        <f>B16/1000*D16</f>
        <v>26.130000000000003</v>
      </c>
      <c r="F16" s="7">
        <f>C16/1000*D16</f>
        <v>30.150000000000002</v>
      </c>
      <c r="G16" s="65" t="s">
        <v>209</v>
      </c>
      <c r="H16" s="196">
        <v>390</v>
      </c>
      <c r="I16" s="196">
        <v>450</v>
      </c>
      <c r="J16" s="132">
        <v>84.6</v>
      </c>
      <c r="K16" s="198">
        <f>H16/1000*J16</f>
        <v>32.994</v>
      </c>
      <c r="L16" s="198">
        <f>I16/1000*J16</f>
        <v>38.07</v>
      </c>
    </row>
    <row r="17" spans="1:12" ht="23.25" customHeight="1">
      <c r="A17" s="65" t="s">
        <v>84</v>
      </c>
      <c r="B17" s="89">
        <v>30</v>
      </c>
      <c r="C17" s="89">
        <v>40</v>
      </c>
      <c r="D17" s="92">
        <v>422</v>
      </c>
      <c r="E17" s="7">
        <f aca="true" t="shared" si="0" ref="E17:E22">B17/1000*D17</f>
        <v>12.66</v>
      </c>
      <c r="F17" s="7">
        <f aca="true" t="shared" si="1" ref="F17:F23">C17/1000*D17</f>
        <v>16.88</v>
      </c>
      <c r="G17" s="65" t="s">
        <v>210</v>
      </c>
      <c r="H17" s="196">
        <v>30</v>
      </c>
      <c r="I17" s="196">
        <v>40</v>
      </c>
      <c r="J17" s="132">
        <v>452.5</v>
      </c>
      <c r="K17" s="198">
        <f aca="true" t="shared" si="2" ref="K17:K22">H17/1000*J17</f>
        <v>13.575</v>
      </c>
      <c r="L17" s="198">
        <f aca="true" t="shared" si="3" ref="L17:L23">I17/1000*J17</f>
        <v>18.1</v>
      </c>
    </row>
    <row r="18" spans="1:12" ht="15" customHeight="1">
      <c r="A18" s="65" t="s">
        <v>20</v>
      </c>
      <c r="B18" s="89">
        <v>9</v>
      </c>
      <c r="C18" s="89">
        <v>11</v>
      </c>
      <c r="D18" s="92">
        <v>240</v>
      </c>
      <c r="E18" s="7">
        <f t="shared" si="0"/>
        <v>2.1599999999999997</v>
      </c>
      <c r="F18" s="7">
        <f t="shared" si="1"/>
        <v>2.6399999999999997</v>
      </c>
      <c r="G18" s="65" t="s">
        <v>211</v>
      </c>
      <c r="H18" s="196">
        <v>9</v>
      </c>
      <c r="I18" s="196">
        <v>11</v>
      </c>
      <c r="J18" s="132">
        <v>250</v>
      </c>
      <c r="K18" s="198">
        <f t="shared" si="2"/>
        <v>2.25</v>
      </c>
      <c r="L18" s="198">
        <f t="shared" si="3"/>
        <v>2.75</v>
      </c>
    </row>
    <row r="19" spans="1:12" ht="15" customHeight="1">
      <c r="A19" s="65" t="s">
        <v>85</v>
      </c>
      <c r="B19" s="89">
        <v>4.3</v>
      </c>
      <c r="C19" s="89">
        <v>6.4</v>
      </c>
      <c r="D19" s="92">
        <v>420</v>
      </c>
      <c r="E19" s="7">
        <f t="shared" si="0"/>
        <v>1.806</v>
      </c>
      <c r="F19" s="7">
        <f t="shared" si="1"/>
        <v>2.688</v>
      </c>
      <c r="G19" s="65" t="s">
        <v>212</v>
      </c>
      <c r="H19" s="197">
        <v>4</v>
      </c>
      <c r="I19" s="197">
        <v>6</v>
      </c>
      <c r="J19" s="132">
        <v>530</v>
      </c>
      <c r="K19" s="198">
        <f t="shared" si="2"/>
        <v>2.12</v>
      </c>
      <c r="L19" s="198">
        <f t="shared" si="3"/>
        <v>3.18</v>
      </c>
    </row>
    <row r="20" spans="1:12" ht="18" customHeight="1">
      <c r="A20" s="174" t="s">
        <v>86</v>
      </c>
      <c r="B20" s="173">
        <v>56</v>
      </c>
      <c r="C20" s="173">
        <v>63.24</v>
      </c>
      <c r="D20" s="92">
        <v>240</v>
      </c>
      <c r="E20" s="7">
        <f t="shared" si="0"/>
        <v>13.44</v>
      </c>
      <c r="F20" s="7">
        <f t="shared" si="1"/>
        <v>15.177600000000002</v>
      </c>
      <c r="G20" s="65" t="s">
        <v>213</v>
      </c>
      <c r="H20" s="196">
        <v>50</v>
      </c>
      <c r="I20" s="196">
        <v>55</v>
      </c>
      <c r="J20" s="132">
        <v>310</v>
      </c>
      <c r="K20" s="198">
        <f t="shared" si="2"/>
        <v>15.5</v>
      </c>
      <c r="L20" s="198">
        <f t="shared" si="3"/>
        <v>17.05</v>
      </c>
    </row>
    <row r="21" spans="1:12" ht="28.5" customHeight="1">
      <c r="A21" s="175" t="s">
        <v>45</v>
      </c>
      <c r="B21" s="173">
        <v>22</v>
      </c>
      <c r="C21" s="173">
        <v>27</v>
      </c>
      <c r="D21" s="92">
        <v>175</v>
      </c>
      <c r="E21" s="7">
        <f t="shared" si="0"/>
        <v>3.8499999999999996</v>
      </c>
      <c r="F21" s="7">
        <f t="shared" si="1"/>
        <v>4.725</v>
      </c>
      <c r="G21" s="66" t="s">
        <v>214</v>
      </c>
      <c r="H21" s="196">
        <v>20</v>
      </c>
      <c r="I21" s="196">
        <v>24</v>
      </c>
      <c r="J21" s="132">
        <v>260</v>
      </c>
      <c r="K21" s="198">
        <f t="shared" si="2"/>
        <v>5.2</v>
      </c>
      <c r="L21" s="198">
        <f t="shared" si="3"/>
        <v>6.24</v>
      </c>
    </row>
    <row r="22" spans="1:12" ht="19.5" customHeight="1">
      <c r="A22" s="66" t="s">
        <v>21</v>
      </c>
      <c r="B22" s="89">
        <v>34</v>
      </c>
      <c r="C22" s="89">
        <v>39</v>
      </c>
      <c r="D22" s="92">
        <v>500</v>
      </c>
      <c r="E22" s="7">
        <f t="shared" si="0"/>
        <v>17</v>
      </c>
      <c r="F22" s="7">
        <f t="shared" si="1"/>
        <v>19.5</v>
      </c>
      <c r="G22" s="66" t="s">
        <v>228</v>
      </c>
      <c r="H22" s="196">
        <v>20</v>
      </c>
      <c r="I22" s="196">
        <v>25</v>
      </c>
      <c r="J22" s="132">
        <v>328</v>
      </c>
      <c r="K22" s="198">
        <f t="shared" si="2"/>
        <v>6.5600000000000005</v>
      </c>
      <c r="L22" s="198">
        <f t="shared" si="3"/>
        <v>8.200000000000001</v>
      </c>
    </row>
    <row r="23" spans="1:12" ht="24.75" customHeight="1">
      <c r="A23" s="66" t="s">
        <v>87</v>
      </c>
      <c r="B23" s="89">
        <v>0</v>
      </c>
      <c r="C23" s="89">
        <v>7</v>
      </c>
      <c r="D23" s="92">
        <v>260</v>
      </c>
      <c r="E23" s="7">
        <f>B23/1000*D23</f>
        <v>0</v>
      </c>
      <c r="F23" s="7">
        <f t="shared" si="1"/>
        <v>1.82</v>
      </c>
      <c r="G23" s="66" t="s">
        <v>215</v>
      </c>
      <c r="H23" s="196">
        <v>32</v>
      </c>
      <c r="I23" s="196">
        <v>37</v>
      </c>
      <c r="J23" s="132">
        <v>340</v>
      </c>
      <c r="K23" s="198">
        <f>H23/1000*J23</f>
        <v>10.88</v>
      </c>
      <c r="L23" s="198">
        <f t="shared" si="3"/>
        <v>12.58</v>
      </c>
    </row>
    <row r="24" spans="1:12" ht="15" customHeight="1">
      <c r="A24" s="66" t="s">
        <v>88</v>
      </c>
      <c r="B24" s="89" t="s">
        <v>46</v>
      </c>
      <c r="C24" s="89" t="s">
        <v>47</v>
      </c>
      <c r="D24" s="93">
        <v>6</v>
      </c>
      <c r="E24" s="94">
        <v>3</v>
      </c>
      <c r="F24" s="94">
        <v>3.6</v>
      </c>
      <c r="G24" s="66" t="s">
        <v>216</v>
      </c>
      <c r="H24" s="132">
        <v>1</v>
      </c>
      <c r="I24" s="132">
        <v>1</v>
      </c>
      <c r="J24" s="197">
        <v>9.2</v>
      </c>
      <c r="K24" s="198">
        <f>H24*J24</f>
        <v>9.2</v>
      </c>
      <c r="L24" s="198">
        <f>I24*K24</f>
        <v>9.2</v>
      </c>
    </row>
    <row r="25" spans="1:12" ht="15" customHeight="1">
      <c r="A25" s="175" t="s">
        <v>4</v>
      </c>
      <c r="B25" s="173">
        <v>172.5</v>
      </c>
      <c r="C25" s="173">
        <v>188</v>
      </c>
      <c r="D25" s="92">
        <v>28</v>
      </c>
      <c r="E25" s="7">
        <f>B25/1000*D25</f>
        <v>4.83</v>
      </c>
      <c r="F25" s="7">
        <f>C25/1000*D25</f>
        <v>5.264</v>
      </c>
      <c r="G25" s="66" t="s">
        <v>4</v>
      </c>
      <c r="H25" s="196">
        <v>120</v>
      </c>
      <c r="I25" s="196">
        <v>140</v>
      </c>
      <c r="J25" s="132">
        <v>45</v>
      </c>
      <c r="K25" s="198">
        <f>H25/1000*J25</f>
        <v>5.3999999999999995</v>
      </c>
      <c r="L25" s="198">
        <f>I25/1000*J25</f>
        <v>6.300000000000001</v>
      </c>
    </row>
    <row r="26" spans="1:12" ht="58.5" customHeight="1">
      <c r="A26" s="66" t="s">
        <v>22</v>
      </c>
      <c r="B26" s="89">
        <v>256</v>
      </c>
      <c r="C26" s="89">
        <v>325</v>
      </c>
      <c r="D26" s="92">
        <v>150</v>
      </c>
      <c r="E26" s="7">
        <f aca="true" t="shared" si="4" ref="E26:E45">B26/1000*D26</f>
        <v>38.4</v>
      </c>
      <c r="F26" s="7">
        <f aca="true" t="shared" si="5" ref="F26:F45">C26/1000*D26</f>
        <v>48.75</v>
      </c>
      <c r="G26" s="66" t="s">
        <v>217</v>
      </c>
      <c r="H26" s="323">
        <v>156.48</v>
      </c>
      <c r="I26" s="323">
        <v>243.65</v>
      </c>
      <c r="J26" s="132">
        <v>142.58</v>
      </c>
      <c r="K26" s="198">
        <f aca="true" t="shared" si="6" ref="K26:K45">H26/1000*J26</f>
        <v>22.3109184</v>
      </c>
      <c r="L26" s="198">
        <f aca="true" t="shared" si="7" ref="L26:L45">I26/1000*J26</f>
        <v>34.739617</v>
      </c>
    </row>
    <row r="27" spans="1:12" ht="15" customHeight="1">
      <c r="A27" s="66" t="s">
        <v>5</v>
      </c>
      <c r="B27" s="89">
        <v>108</v>
      </c>
      <c r="C27" s="89">
        <v>114</v>
      </c>
      <c r="D27" s="92">
        <v>150</v>
      </c>
      <c r="E27" s="7">
        <f t="shared" si="4"/>
        <v>16.2</v>
      </c>
      <c r="F27" s="7">
        <f t="shared" si="5"/>
        <v>17.1</v>
      </c>
      <c r="G27" s="66" t="s">
        <v>218</v>
      </c>
      <c r="H27" s="196">
        <v>95</v>
      </c>
      <c r="I27" s="196">
        <v>100</v>
      </c>
      <c r="J27" s="132">
        <v>160</v>
      </c>
      <c r="K27" s="198">
        <f t="shared" si="6"/>
        <v>15.2</v>
      </c>
      <c r="L27" s="198">
        <f t="shared" si="7"/>
        <v>16</v>
      </c>
    </row>
    <row r="28" spans="1:12" ht="15" customHeight="1">
      <c r="A28" s="66" t="s">
        <v>23</v>
      </c>
      <c r="B28" s="89">
        <v>9</v>
      </c>
      <c r="C28" s="89">
        <v>11</v>
      </c>
      <c r="D28" s="92">
        <v>159</v>
      </c>
      <c r="E28" s="7">
        <f t="shared" si="4"/>
        <v>1.4309999999999998</v>
      </c>
      <c r="F28" s="7">
        <f t="shared" si="5"/>
        <v>1.7489999999999999</v>
      </c>
      <c r="G28" s="66" t="s">
        <v>219</v>
      </c>
      <c r="H28" s="196">
        <v>9</v>
      </c>
      <c r="I28" s="196">
        <v>11</v>
      </c>
      <c r="J28" s="132">
        <v>145</v>
      </c>
      <c r="K28" s="198">
        <f t="shared" si="6"/>
        <v>1.305</v>
      </c>
      <c r="L28" s="198">
        <f t="shared" si="7"/>
        <v>1.595</v>
      </c>
    </row>
    <row r="29" spans="1:12" ht="16.5" customHeight="1">
      <c r="A29" s="66" t="s">
        <v>24</v>
      </c>
      <c r="B29" s="89">
        <v>100</v>
      </c>
      <c r="C29" s="89">
        <v>100</v>
      </c>
      <c r="D29" s="92">
        <v>55</v>
      </c>
      <c r="E29" s="7">
        <f t="shared" si="4"/>
        <v>5.5</v>
      </c>
      <c r="F29" s="7">
        <f t="shared" si="5"/>
        <v>5.5</v>
      </c>
      <c r="G29" s="66" t="s">
        <v>220</v>
      </c>
      <c r="H29" s="196">
        <v>100</v>
      </c>
      <c r="I29" s="196">
        <v>100</v>
      </c>
      <c r="J29" s="132">
        <v>70</v>
      </c>
      <c r="K29" s="198">
        <f t="shared" si="6"/>
        <v>7</v>
      </c>
      <c r="L29" s="198">
        <f t="shared" si="7"/>
        <v>7</v>
      </c>
    </row>
    <row r="30" spans="1:12" ht="14.25" customHeight="1">
      <c r="A30" s="66" t="s">
        <v>25</v>
      </c>
      <c r="B30" s="91">
        <v>0</v>
      </c>
      <c r="C30" s="89">
        <v>50</v>
      </c>
      <c r="D30" s="92">
        <v>28</v>
      </c>
      <c r="E30" s="7">
        <f t="shared" si="4"/>
        <v>0</v>
      </c>
      <c r="F30" s="7">
        <f t="shared" si="5"/>
        <v>1.4000000000000001</v>
      </c>
      <c r="G30" s="66" t="s">
        <v>221</v>
      </c>
      <c r="H30" s="196">
        <v>0</v>
      </c>
      <c r="I30" s="196">
        <v>50</v>
      </c>
      <c r="J30" s="132">
        <v>80</v>
      </c>
      <c r="K30" s="198">
        <f t="shared" si="6"/>
        <v>0</v>
      </c>
      <c r="L30" s="198">
        <f t="shared" si="7"/>
        <v>4</v>
      </c>
    </row>
    <row r="31" spans="1:12" ht="15" customHeight="1">
      <c r="A31" s="65" t="s">
        <v>26</v>
      </c>
      <c r="B31" s="89">
        <v>40</v>
      </c>
      <c r="C31" s="89">
        <v>50</v>
      </c>
      <c r="D31" s="92">
        <v>42</v>
      </c>
      <c r="E31" s="7">
        <f t="shared" si="4"/>
        <v>1.68</v>
      </c>
      <c r="F31" s="7">
        <f t="shared" si="5"/>
        <v>2.1</v>
      </c>
      <c r="G31" s="65" t="s">
        <v>222</v>
      </c>
      <c r="H31" s="196">
        <v>40</v>
      </c>
      <c r="I31" s="196">
        <v>50</v>
      </c>
      <c r="J31" s="132">
        <v>45</v>
      </c>
      <c r="K31" s="198">
        <f t="shared" si="6"/>
        <v>1.8</v>
      </c>
      <c r="L31" s="198">
        <f t="shared" si="7"/>
        <v>2.25</v>
      </c>
    </row>
    <row r="32" spans="1:12" ht="15" customHeight="1">
      <c r="A32" s="65" t="s">
        <v>27</v>
      </c>
      <c r="B32" s="89">
        <v>60</v>
      </c>
      <c r="C32" s="89">
        <v>80</v>
      </c>
      <c r="D32" s="92">
        <v>45</v>
      </c>
      <c r="E32" s="7">
        <f t="shared" si="4"/>
        <v>2.6999999999999997</v>
      </c>
      <c r="F32" s="7">
        <f t="shared" si="5"/>
        <v>3.6</v>
      </c>
      <c r="G32" s="65" t="s">
        <v>223</v>
      </c>
      <c r="H32" s="196">
        <v>60</v>
      </c>
      <c r="I32" s="196">
        <v>80</v>
      </c>
      <c r="J32" s="132">
        <v>46</v>
      </c>
      <c r="K32" s="198">
        <f t="shared" si="6"/>
        <v>2.76</v>
      </c>
      <c r="L32" s="198">
        <f t="shared" si="7"/>
        <v>3.68</v>
      </c>
    </row>
    <row r="33" spans="1:12" ht="15" customHeight="1">
      <c r="A33" s="65" t="s">
        <v>28</v>
      </c>
      <c r="B33" s="89">
        <v>30</v>
      </c>
      <c r="C33" s="89">
        <v>43</v>
      </c>
      <c r="D33" s="92">
        <v>60</v>
      </c>
      <c r="E33" s="7">
        <f t="shared" si="4"/>
        <v>1.7999999999999998</v>
      </c>
      <c r="F33" s="7">
        <f t="shared" si="5"/>
        <v>2.5799999999999996</v>
      </c>
      <c r="G33" s="65" t="s">
        <v>224</v>
      </c>
      <c r="H33" s="196">
        <v>30</v>
      </c>
      <c r="I33" s="196">
        <v>43</v>
      </c>
      <c r="J33" s="132">
        <v>73.5</v>
      </c>
      <c r="K33" s="198">
        <f t="shared" si="6"/>
        <v>2.205</v>
      </c>
      <c r="L33" s="198">
        <f t="shared" si="7"/>
        <v>3.1605</v>
      </c>
    </row>
    <row r="34" spans="1:12" ht="15" customHeight="1">
      <c r="A34" s="65" t="s">
        <v>3</v>
      </c>
      <c r="B34" s="89">
        <v>8</v>
      </c>
      <c r="C34" s="89">
        <v>12</v>
      </c>
      <c r="D34" s="92">
        <v>44</v>
      </c>
      <c r="E34" s="7">
        <f t="shared" si="4"/>
        <v>0.352</v>
      </c>
      <c r="F34" s="7">
        <f t="shared" si="5"/>
        <v>0.528</v>
      </c>
      <c r="G34" s="65" t="s">
        <v>3</v>
      </c>
      <c r="H34" s="196">
        <v>8</v>
      </c>
      <c r="I34" s="196">
        <v>12</v>
      </c>
      <c r="J34" s="132">
        <v>48</v>
      </c>
      <c r="K34" s="198">
        <f t="shared" si="6"/>
        <v>0.384</v>
      </c>
      <c r="L34" s="198">
        <f t="shared" si="7"/>
        <v>0.5760000000000001</v>
      </c>
    </row>
    <row r="35" spans="1:12" ht="15" customHeight="1">
      <c r="A35" s="65" t="s">
        <v>29</v>
      </c>
      <c r="B35" s="89">
        <v>25</v>
      </c>
      <c r="C35" s="89">
        <v>29</v>
      </c>
      <c r="D35" s="92">
        <v>32</v>
      </c>
      <c r="E35" s="7">
        <f t="shared" si="4"/>
        <v>0.8</v>
      </c>
      <c r="F35" s="7">
        <f t="shared" si="5"/>
        <v>0.928</v>
      </c>
      <c r="G35" s="65" t="s">
        <v>29</v>
      </c>
      <c r="H35" s="196">
        <v>25</v>
      </c>
      <c r="I35" s="196">
        <v>29</v>
      </c>
      <c r="J35" s="132">
        <v>38.9</v>
      </c>
      <c r="K35" s="198">
        <f t="shared" si="6"/>
        <v>0.9725</v>
      </c>
      <c r="L35" s="198">
        <f t="shared" si="7"/>
        <v>1.1281</v>
      </c>
    </row>
    <row r="36" spans="1:12" ht="15" customHeight="1">
      <c r="A36" s="65" t="s">
        <v>113</v>
      </c>
      <c r="B36" s="89">
        <v>18</v>
      </c>
      <c r="C36" s="89">
        <v>21</v>
      </c>
      <c r="D36" s="92">
        <v>378</v>
      </c>
      <c r="E36" s="7">
        <f t="shared" si="4"/>
        <v>6.803999999999999</v>
      </c>
      <c r="F36" s="7">
        <f t="shared" si="5"/>
        <v>7.938000000000001</v>
      </c>
      <c r="G36" s="65" t="s">
        <v>225</v>
      </c>
      <c r="H36" s="196">
        <v>18</v>
      </c>
      <c r="I36" s="196">
        <v>21</v>
      </c>
      <c r="J36" s="132">
        <v>620</v>
      </c>
      <c r="K36" s="198">
        <f t="shared" si="6"/>
        <v>11.159999999999998</v>
      </c>
      <c r="L36" s="198">
        <f t="shared" si="7"/>
        <v>13.020000000000001</v>
      </c>
    </row>
    <row r="37" spans="1:12" ht="15" customHeight="1">
      <c r="A37" s="65" t="s">
        <v>31</v>
      </c>
      <c r="B37" s="89">
        <v>9</v>
      </c>
      <c r="C37" s="89">
        <v>11</v>
      </c>
      <c r="D37" s="92">
        <v>110</v>
      </c>
      <c r="E37" s="7">
        <f t="shared" si="4"/>
        <v>0.9899999999999999</v>
      </c>
      <c r="F37" s="7">
        <f t="shared" si="5"/>
        <v>1.21</v>
      </c>
      <c r="G37" s="65" t="s">
        <v>31</v>
      </c>
      <c r="H37" s="196">
        <v>9</v>
      </c>
      <c r="I37" s="196">
        <v>11</v>
      </c>
      <c r="J37" s="132">
        <v>159.86</v>
      </c>
      <c r="K37" s="198">
        <f t="shared" si="6"/>
        <v>1.43874</v>
      </c>
      <c r="L37" s="198">
        <f t="shared" si="7"/>
        <v>1.7584600000000001</v>
      </c>
    </row>
    <row r="38" spans="1:12" ht="15" customHeight="1">
      <c r="A38" s="65" t="s">
        <v>32</v>
      </c>
      <c r="B38" s="89">
        <v>7</v>
      </c>
      <c r="C38" s="89">
        <v>20</v>
      </c>
      <c r="D38" s="92">
        <v>180</v>
      </c>
      <c r="E38" s="7">
        <f t="shared" si="4"/>
        <v>1.26</v>
      </c>
      <c r="F38" s="7">
        <f t="shared" si="5"/>
        <v>3.6</v>
      </c>
      <c r="G38" s="65" t="s">
        <v>32</v>
      </c>
      <c r="H38" s="196">
        <v>12</v>
      </c>
      <c r="I38" s="196">
        <v>20</v>
      </c>
      <c r="J38" s="132">
        <v>192</v>
      </c>
      <c r="K38" s="198">
        <f t="shared" si="6"/>
        <v>2.3040000000000003</v>
      </c>
      <c r="L38" s="198">
        <f t="shared" si="7"/>
        <v>3.84</v>
      </c>
    </row>
    <row r="39" spans="1:12" ht="15" customHeight="1">
      <c r="A39" s="65" t="s">
        <v>33</v>
      </c>
      <c r="B39" s="89">
        <v>0.5</v>
      </c>
      <c r="C39" s="89">
        <v>0.6</v>
      </c>
      <c r="D39" s="92">
        <v>360</v>
      </c>
      <c r="E39" s="7">
        <f t="shared" si="4"/>
        <v>0.18</v>
      </c>
      <c r="F39" s="7">
        <f t="shared" si="5"/>
        <v>0.21599999999999997</v>
      </c>
      <c r="G39" s="65" t="s">
        <v>33</v>
      </c>
      <c r="H39" s="197">
        <v>0.5</v>
      </c>
      <c r="I39" s="197">
        <v>0.6</v>
      </c>
      <c r="J39" s="132">
        <v>523</v>
      </c>
      <c r="K39" s="198">
        <f t="shared" si="6"/>
        <v>0.2615</v>
      </c>
      <c r="L39" s="198">
        <f t="shared" si="7"/>
        <v>0.31379999999999997</v>
      </c>
    </row>
    <row r="40" spans="1:12" ht="15" customHeight="1">
      <c r="A40" s="65" t="s">
        <v>34</v>
      </c>
      <c r="B40" s="89">
        <v>0.5</v>
      </c>
      <c r="C40" s="89">
        <v>0.6</v>
      </c>
      <c r="D40" s="92">
        <v>350</v>
      </c>
      <c r="E40" s="7">
        <f t="shared" si="4"/>
        <v>0.17500000000000002</v>
      </c>
      <c r="F40" s="7">
        <f t="shared" si="5"/>
        <v>0.21</v>
      </c>
      <c r="G40" s="65" t="s">
        <v>34</v>
      </c>
      <c r="H40" s="197">
        <v>0.5</v>
      </c>
      <c r="I40" s="197">
        <v>0.6</v>
      </c>
      <c r="J40" s="132">
        <v>900</v>
      </c>
      <c r="K40" s="198">
        <f t="shared" si="6"/>
        <v>0.45</v>
      </c>
      <c r="L40" s="198">
        <f t="shared" si="7"/>
        <v>0.5399999999999999</v>
      </c>
    </row>
    <row r="41" spans="1:12" ht="15.75" customHeight="1">
      <c r="A41" s="65" t="s">
        <v>89</v>
      </c>
      <c r="B41" s="90">
        <v>1</v>
      </c>
      <c r="C41" s="89">
        <v>1.2</v>
      </c>
      <c r="D41" s="92">
        <v>450</v>
      </c>
      <c r="E41" s="7">
        <f t="shared" si="4"/>
        <v>0.45</v>
      </c>
      <c r="F41" s="7">
        <f t="shared" si="5"/>
        <v>0.5399999999999999</v>
      </c>
      <c r="G41" s="65" t="s">
        <v>89</v>
      </c>
      <c r="H41" s="197">
        <v>1</v>
      </c>
      <c r="I41" s="197">
        <v>1.2</v>
      </c>
      <c r="J41" s="132">
        <v>450</v>
      </c>
      <c r="K41" s="198">
        <f t="shared" si="6"/>
        <v>0.45</v>
      </c>
      <c r="L41" s="198">
        <f t="shared" si="7"/>
        <v>0.5399999999999999</v>
      </c>
    </row>
    <row r="42" spans="1:12" ht="75.75" customHeight="1">
      <c r="A42" s="65" t="s">
        <v>35</v>
      </c>
      <c r="B42" s="89">
        <v>37</v>
      </c>
      <c r="C42" s="89">
        <v>47</v>
      </c>
      <c r="D42" s="92">
        <v>62</v>
      </c>
      <c r="E42" s="7">
        <f t="shared" si="4"/>
        <v>2.294</v>
      </c>
      <c r="F42" s="7">
        <f t="shared" si="5"/>
        <v>2.914</v>
      </c>
      <c r="G42" s="65" t="s">
        <v>226</v>
      </c>
      <c r="H42" s="196">
        <v>25</v>
      </c>
      <c r="I42" s="196">
        <v>30</v>
      </c>
      <c r="J42" s="132">
        <v>78</v>
      </c>
      <c r="K42" s="198">
        <f t="shared" si="6"/>
        <v>1.9500000000000002</v>
      </c>
      <c r="L42" s="198">
        <f t="shared" si="7"/>
        <v>2.34</v>
      </c>
    </row>
    <row r="43" spans="1:12" ht="15" customHeight="1">
      <c r="A43" s="65" t="s">
        <v>9</v>
      </c>
      <c r="B43" s="89">
        <v>0.4</v>
      </c>
      <c r="C43" s="89">
        <v>0.5</v>
      </c>
      <c r="D43" s="92">
        <v>1100</v>
      </c>
      <c r="E43" s="7">
        <f t="shared" si="4"/>
        <v>0.44</v>
      </c>
      <c r="F43" s="7">
        <f t="shared" si="5"/>
        <v>0.55</v>
      </c>
      <c r="G43" s="65" t="s">
        <v>9</v>
      </c>
      <c r="H43" s="197">
        <v>0.4</v>
      </c>
      <c r="I43" s="197">
        <v>0.5</v>
      </c>
      <c r="J43" s="132">
        <v>1600</v>
      </c>
      <c r="K43" s="198">
        <f t="shared" si="6"/>
        <v>0.64</v>
      </c>
      <c r="L43" s="198">
        <f t="shared" si="7"/>
        <v>0.8</v>
      </c>
    </row>
    <row r="44" spans="1:12" ht="15" customHeight="1">
      <c r="A44" s="65" t="s">
        <v>30</v>
      </c>
      <c r="B44" s="89">
        <v>2</v>
      </c>
      <c r="C44" s="89">
        <v>3</v>
      </c>
      <c r="D44" s="92">
        <v>180</v>
      </c>
      <c r="E44" s="7">
        <f t="shared" si="4"/>
        <v>0.36</v>
      </c>
      <c r="F44" s="7">
        <f t="shared" si="5"/>
        <v>0.54</v>
      </c>
      <c r="G44" s="65" t="s">
        <v>227</v>
      </c>
      <c r="H44" s="196">
        <v>2</v>
      </c>
      <c r="I44" s="196">
        <v>3</v>
      </c>
      <c r="J44" s="132">
        <v>270</v>
      </c>
      <c r="K44" s="198">
        <f t="shared" si="6"/>
        <v>0.54</v>
      </c>
      <c r="L44" s="198">
        <f t="shared" si="7"/>
        <v>0.81</v>
      </c>
    </row>
    <row r="45" spans="1:12" ht="15" customHeight="1">
      <c r="A45" s="67" t="s">
        <v>36</v>
      </c>
      <c r="B45" s="89">
        <v>4</v>
      </c>
      <c r="C45" s="89">
        <v>6</v>
      </c>
      <c r="D45" s="92">
        <v>16</v>
      </c>
      <c r="E45" s="7">
        <f t="shared" si="4"/>
        <v>0.064</v>
      </c>
      <c r="F45" s="7">
        <f t="shared" si="5"/>
        <v>0.096</v>
      </c>
      <c r="G45" s="67" t="s">
        <v>36</v>
      </c>
      <c r="H45" s="196">
        <v>3</v>
      </c>
      <c r="I45" s="196">
        <v>5</v>
      </c>
      <c r="J45" s="132">
        <v>22</v>
      </c>
      <c r="K45" s="198">
        <f t="shared" si="6"/>
        <v>0.066</v>
      </c>
      <c r="L45" s="198">
        <f t="shared" si="7"/>
        <v>0.11</v>
      </c>
    </row>
    <row r="46" spans="1:12" ht="19.5" customHeight="1">
      <c r="A46" s="16" t="s">
        <v>37</v>
      </c>
      <c r="B46" s="12"/>
      <c r="C46" s="12"/>
      <c r="D46" s="12"/>
      <c r="E46" s="17">
        <f>SUM(E16:E45)</f>
        <v>166.75600000000003</v>
      </c>
      <c r="F46" s="17">
        <f>SUM(F16:F45)</f>
        <v>204.49359999999996</v>
      </c>
      <c r="G46" s="135" t="s">
        <v>37</v>
      </c>
      <c r="H46" s="136"/>
      <c r="I46" s="136"/>
      <c r="J46" s="136"/>
      <c r="K46" s="137">
        <f>SUM(K16:K45)</f>
        <v>176.87665839999994</v>
      </c>
      <c r="L46" s="137">
        <f>SUM(L16:L45)</f>
        <v>219.87147700000003</v>
      </c>
    </row>
    <row r="47" spans="1:12" ht="20.25" customHeight="1">
      <c r="A47" s="38" t="s">
        <v>38</v>
      </c>
      <c r="B47" s="39"/>
      <c r="C47" s="40"/>
      <c r="D47" s="41">
        <f>ROUND((F46+E46)/2,2)</f>
        <v>185.62</v>
      </c>
      <c r="E47" s="39"/>
      <c r="F47" s="40"/>
      <c r="G47" s="324" t="s">
        <v>38</v>
      </c>
      <c r="H47" s="325"/>
      <c r="I47" s="326"/>
      <c r="J47" s="327">
        <f>ROUND((L46+K46)/2,2)</f>
        <v>198.37</v>
      </c>
      <c r="K47" s="325"/>
      <c r="L47" s="326"/>
    </row>
    <row r="48" spans="5:12" ht="12.75">
      <c r="E48" s="42"/>
      <c r="F48" s="42"/>
      <c r="G48" s="13"/>
      <c r="H48" s="13"/>
      <c r="I48" s="13"/>
      <c r="J48" s="13"/>
      <c r="K48" s="328"/>
      <c r="L48" s="328"/>
    </row>
    <row r="49" spans="3:12" ht="12.75">
      <c r="C49" s="15" t="s">
        <v>111</v>
      </c>
      <c r="D49" s="99" t="e">
        <f>D47/#REF!%-100</f>
        <v>#REF!</v>
      </c>
      <c r="F49" s="43"/>
      <c r="G49" s="13"/>
      <c r="H49" s="13"/>
      <c r="I49" s="14"/>
      <c r="J49" s="177"/>
      <c r="K49" s="13"/>
      <c r="L49" s="329"/>
    </row>
    <row r="50" spans="3:12" ht="12.75">
      <c r="C50" s="15" t="s">
        <v>115</v>
      </c>
      <c r="D50" s="96" t="e">
        <f>D47-#REF!</f>
        <v>#REF!</v>
      </c>
      <c r="G50" s="13"/>
      <c r="H50" s="13"/>
      <c r="I50" s="14"/>
      <c r="J50" s="124">
        <v>198.37</v>
      </c>
      <c r="K50" s="13">
        <v>176.88</v>
      </c>
      <c r="L50" s="13">
        <v>219.87</v>
      </c>
    </row>
    <row r="51" spans="7:12" ht="12.75">
      <c r="G51" s="13"/>
      <c r="H51" s="13"/>
      <c r="I51" s="13"/>
      <c r="J51" s="13"/>
      <c r="K51" s="13"/>
      <c r="L51" s="13"/>
    </row>
  </sheetData>
  <sheetProtection/>
  <mergeCells count="22">
    <mergeCell ref="K1:L1"/>
    <mergeCell ref="J2:L2"/>
    <mergeCell ref="J3:L3"/>
    <mergeCell ref="J4:L4"/>
    <mergeCell ref="J5:L5"/>
    <mergeCell ref="J6:L6"/>
    <mergeCell ref="A8:F8"/>
    <mergeCell ref="G8:L8"/>
    <mergeCell ref="A9:F9"/>
    <mergeCell ref="G9:L9"/>
    <mergeCell ref="A10:F10"/>
    <mergeCell ref="G10:L10"/>
    <mergeCell ref="A12:F12"/>
    <mergeCell ref="G12:L12"/>
    <mergeCell ref="A14:A15"/>
    <mergeCell ref="B14:C14"/>
    <mergeCell ref="D14:D15"/>
    <mergeCell ref="E14:F14"/>
    <mergeCell ref="G14:G15"/>
    <mergeCell ref="H14:I14"/>
    <mergeCell ref="J14:J15"/>
    <mergeCell ref="K14:L14"/>
  </mergeCells>
  <printOptions/>
  <pageMargins left="0.7874015748031497" right="0.11811023622047245" top="0.4724409448818898" bottom="0.31496062992125984" header="0.31496062992125984" footer="0.31496062992125984"/>
  <pageSetup fitToHeight="1" fitToWidth="1" horizontalDpi="600" verticalDpi="600" orientation="portrait" paperSize="9" scale="9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52"/>
  <sheetViews>
    <sheetView view="pageBreakPreview" zoomScaleSheetLayoutView="100" zoomScalePageLayoutView="0" workbookViewId="0" topLeftCell="A7">
      <selection activeCell="I16" sqref="I16"/>
    </sheetView>
  </sheetViews>
  <sheetFormatPr defaultColWidth="9.140625" defaultRowHeight="12.75"/>
  <cols>
    <col min="1" max="1" width="9.28125" style="9" customWidth="1"/>
    <col min="2" max="2" width="9.140625" style="9" customWidth="1"/>
    <col min="3" max="3" width="14.140625" style="9" customWidth="1"/>
    <col min="4" max="5" width="8.421875" style="9" customWidth="1"/>
    <col min="6" max="6" width="8.8515625" style="9" customWidth="1"/>
    <col min="7" max="7" width="14.421875" style="9" customWidth="1"/>
    <col min="8" max="8" width="39.8515625" style="9" customWidth="1"/>
    <col min="9" max="10" width="11.7109375" style="9" customWidth="1"/>
    <col min="11" max="11" width="10.8515625" style="9" customWidth="1"/>
    <col min="12" max="12" width="12.8515625" style="9" customWidth="1"/>
    <col min="13" max="13" width="14.7109375" style="9" customWidth="1"/>
    <col min="14" max="16384" width="9.140625" style="9" customWidth="1"/>
  </cols>
  <sheetData>
    <row r="1" ht="12.75">
      <c r="M1" s="9" t="s">
        <v>154</v>
      </c>
    </row>
    <row r="2" spans="8:13" ht="12.75">
      <c r="H2" s="158" t="s">
        <v>145</v>
      </c>
      <c r="K2" s="372" t="s">
        <v>146</v>
      </c>
      <c r="L2" s="372"/>
      <c r="M2" s="372"/>
    </row>
    <row r="3" spans="8:13" ht="12.75">
      <c r="H3" s="9" t="s">
        <v>192</v>
      </c>
      <c r="K3" s="373" t="s">
        <v>147</v>
      </c>
      <c r="L3" s="373"/>
      <c r="M3" s="373"/>
    </row>
    <row r="4" spans="8:13" ht="12.75">
      <c r="H4" s="9" t="s">
        <v>193</v>
      </c>
      <c r="K4" s="373" t="s">
        <v>148</v>
      </c>
      <c r="L4" s="373"/>
      <c r="M4" s="373"/>
    </row>
    <row r="5" spans="8:13" ht="18.75" customHeight="1">
      <c r="H5" s="9" t="s">
        <v>191</v>
      </c>
      <c r="K5" s="373" t="s">
        <v>183</v>
      </c>
      <c r="L5" s="373"/>
      <c r="M5" s="373"/>
    </row>
    <row r="6" spans="1:13" ht="15.75">
      <c r="A6" s="11"/>
      <c r="B6" s="1"/>
      <c r="C6" s="2"/>
      <c r="E6" s="8"/>
      <c r="F6" s="4"/>
      <c r="H6" s="11"/>
      <c r="I6" s="11"/>
      <c r="J6" s="129"/>
      <c r="K6" s="386"/>
      <c r="L6" s="386"/>
      <c r="M6" s="386"/>
    </row>
    <row r="7" spans="1:13" ht="12.75">
      <c r="A7" s="3"/>
      <c r="B7" s="3"/>
      <c r="C7" s="3"/>
      <c r="D7" s="3"/>
      <c r="E7" s="3"/>
      <c r="F7" s="3"/>
      <c r="H7" s="131"/>
      <c r="I7" s="131"/>
      <c r="J7" s="131"/>
      <c r="K7" s="131"/>
      <c r="L7" s="131"/>
      <c r="M7" s="131"/>
    </row>
    <row r="8" spans="1:13" ht="12.75">
      <c r="A8" s="376" t="s">
        <v>14</v>
      </c>
      <c r="B8" s="376"/>
      <c r="C8" s="376"/>
      <c r="D8" s="376"/>
      <c r="E8" s="376"/>
      <c r="F8" s="376"/>
      <c r="H8" s="380" t="s">
        <v>14</v>
      </c>
      <c r="I8" s="380"/>
      <c r="J8" s="380"/>
      <c r="K8" s="380"/>
      <c r="L8" s="380"/>
      <c r="M8" s="380"/>
    </row>
    <row r="9" spans="1:13" ht="12.75">
      <c r="A9" s="374" t="s">
        <v>122</v>
      </c>
      <c r="B9" s="374"/>
      <c r="C9" s="374"/>
      <c r="D9" s="374"/>
      <c r="E9" s="374"/>
      <c r="F9" s="374"/>
      <c r="H9" s="381" t="s">
        <v>122</v>
      </c>
      <c r="I9" s="381"/>
      <c r="J9" s="381"/>
      <c r="K9" s="381"/>
      <c r="L9" s="381"/>
      <c r="M9" s="381"/>
    </row>
    <row r="10" spans="1:13" ht="12.75">
      <c r="A10" s="377" t="s">
        <v>119</v>
      </c>
      <c r="B10" s="377"/>
      <c r="C10" s="377"/>
      <c r="D10" s="377"/>
      <c r="E10" s="377"/>
      <c r="F10" s="377"/>
      <c r="H10" s="380" t="s">
        <v>184</v>
      </c>
      <c r="I10" s="380"/>
      <c r="J10" s="380"/>
      <c r="K10" s="380"/>
      <c r="L10" s="380"/>
      <c r="M10" s="380"/>
    </row>
    <row r="11" spans="1:13" ht="12.75">
      <c r="A11" s="88"/>
      <c r="B11" s="88"/>
      <c r="C11" s="88"/>
      <c r="D11" s="88"/>
      <c r="E11" s="88"/>
      <c r="F11" s="88"/>
      <c r="H11" s="134"/>
      <c r="I11" s="134"/>
      <c r="J11" s="134"/>
      <c r="K11" s="134"/>
      <c r="L11" s="134"/>
      <c r="M11" s="134"/>
    </row>
    <row r="12" spans="1:13" ht="12.75">
      <c r="A12" s="378" t="s">
        <v>123</v>
      </c>
      <c r="B12" s="378"/>
      <c r="C12" s="378"/>
      <c r="D12" s="378"/>
      <c r="E12" s="378"/>
      <c r="F12" s="378"/>
      <c r="H12" s="382" t="s">
        <v>123</v>
      </c>
      <c r="I12" s="382"/>
      <c r="J12" s="382"/>
      <c r="K12" s="382"/>
      <c r="L12" s="382"/>
      <c r="M12" s="382"/>
    </row>
    <row r="13" spans="4:13" ht="13.5" thickBot="1">
      <c r="D13" s="5"/>
      <c r="E13" s="5"/>
      <c r="F13" s="5"/>
      <c r="H13" s="13"/>
      <c r="I13" s="13"/>
      <c r="J13" s="13"/>
      <c r="K13" s="130"/>
      <c r="L13" s="130"/>
      <c r="M13" s="130"/>
    </row>
    <row r="14" spans="1:13" ht="42" customHeight="1">
      <c r="A14" s="379" t="s">
        <v>15</v>
      </c>
      <c r="B14" s="379" t="s">
        <v>40</v>
      </c>
      <c r="C14" s="379"/>
      <c r="D14" s="379" t="s">
        <v>16</v>
      </c>
      <c r="E14" s="379" t="s">
        <v>17</v>
      </c>
      <c r="F14" s="379"/>
      <c r="H14" s="383" t="s">
        <v>15</v>
      </c>
      <c r="I14" s="383" t="s">
        <v>40</v>
      </c>
      <c r="J14" s="383"/>
      <c r="K14" s="384" t="s">
        <v>196</v>
      </c>
      <c r="L14" s="383" t="s">
        <v>17</v>
      </c>
      <c r="M14" s="383"/>
    </row>
    <row r="15" spans="1:13" ht="15" customHeight="1" thickBot="1">
      <c r="A15" s="379"/>
      <c r="B15" s="6" t="s">
        <v>18</v>
      </c>
      <c r="C15" s="6" t="s">
        <v>19</v>
      </c>
      <c r="D15" s="379"/>
      <c r="E15" s="6" t="s">
        <v>18</v>
      </c>
      <c r="F15" s="6" t="s">
        <v>19</v>
      </c>
      <c r="H15" s="383"/>
      <c r="I15" s="132" t="s">
        <v>18</v>
      </c>
      <c r="J15" s="132" t="s">
        <v>19</v>
      </c>
      <c r="K15" s="385"/>
      <c r="L15" s="132" t="s">
        <v>18</v>
      </c>
      <c r="M15" s="132" t="s">
        <v>19</v>
      </c>
    </row>
    <row r="16" spans="1:13" ht="39.75" customHeight="1">
      <c r="A16" s="65" t="s">
        <v>83</v>
      </c>
      <c r="B16" s="89">
        <v>390</v>
      </c>
      <c r="C16" s="89">
        <v>450</v>
      </c>
      <c r="D16" s="92">
        <v>67</v>
      </c>
      <c r="E16" s="7">
        <f>B16/1000*D16</f>
        <v>26.130000000000003</v>
      </c>
      <c r="F16" s="7">
        <f>C16/1000*D16</f>
        <v>30.150000000000002</v>
      </c>
      <c r="H16" s="224" t="s">
        <v>159</v>
      </c>
      <c r="I16" s="196">
        <f>B16*25%</f>
        <v>97.5</v>
      </c>
      <c r="J16" s="196">
        <f>C16*25%</f>
        <v>112.5</v>
      </c>
      <c r="K16" s="229">
        <v>81</v>
      </c>
      <c r="L16" s="198">
        <f>I16/1000*K16</f>
        <v>7.8975</v>
      </c>
      <c r="M16" s="198">
        <f>J16/1000*K16</f>
        <v>9.1125</v>
      </c>
    </row>
    <row r="17" spans="1:13" ht="18" customHeight="1">
      <c r="A17" s="65" t="s">
        <v>84</v>
      </c>
      <c r="B17" s="89">
        <v>30</v>
      </c>
      <c r="C17" s="89">
        <v>40</v>
      </c>
      <c r="D17" s="92">
        <v>422</v>
      </c>
      <c r="E17" s="7">
        <f aca="true" t="shared" si="0" ref="E17:E22">B17/1000*D17</f>
        <v>12.66</v>
      </c>
      <c r="F17" s="7">
        <f aca="true" t="shared" si="1" ref="F17:F23">C17/1000*D17</f>
        <v>16.88</v>
      </c>
      <c r="H17" s="224" t="s">
        <v>84</v>
      </c>
      <c r="I17" s="196">
        <f aca="true" t="shared" si="2" ref="I17:I23">B17*25%</f>
        <v>7.5</v>
      </c>
      <c r="J17" s="196">
        <f aca="true" t="shared" si="3" ref="J17:J23">C17*25%</f>
        <v>10</v>
      </c>
      <c r="K17" s="229">
        <f>600-220</f>
        <v>380</v>
      </c>
      <c r="L17" s="198">
        <f aca="true" t="shared" si="4" ref="L17:L22">I17/1000*K17</f>
        <v>2.85</v>
      </c>
      <c r="M17" s="198">
        <f aca="true" t="shared" si="5" ref="M17:M23">J17/1000*K17</f>
        <v>3.8000000000000003</v>
      </c>
    </row>
    <row r="18" spans="1:13" ht="15" customHeight="1">
      <c r="A18" s="65" t="s">
        <v>20</v>
      </c>
      <c r="B18" s="89">
        <v>9</v>
      </c>
      <c r="C18" s="89">
        <v>11</v>
      </c>
      <c r="D18" s="92">
        <v>240</v>
      </c>
      <c r="E18" s="7">
        <f t="shared" si="0"/>
        <v>2.1599999999999997</v>
      </c>
      <c r="F18" s="7">
        <f t="shared" si="1"/>
        <v>2.6399999999999997</v>
      </c>
      <c r="H18" s="224" t="s">
        <v>20</v>
      </c>
      <c r="I18" s="196">
        <f t="shared" si="2"/>
        <v>2.25</v>
      </c>
      <c r="J18" s="196">
        <f t="shared" si="3"/>
        <v>2.75</v>
      </c>
      <c r="K18" s="222">
        <v>270</v>
      </c>
      <c r="L18" s="198">
        <f t="shared" si="4"/>
        <v>0.6074999999999999</v>
      </c>
      <c r="M18" s="198">
        <f t="shared" si="5"/>
        <v>0.7424999999999999</v>
      </c>
    </row>
    <row r="19" spans="1:13" ht="15" customHeight="1">
      <c r="A19" s="65" t="s">
        <v>85</v>
      </c>
      <c r="B19" s="89">
        <v>4.3</v>
      </c>
      <c r="C19" s="89">
        <v>6.4</v>
      </c>
      <c r="D19" s="92">
        <v>420</v>
      </c>
      <c r="E19" s="7">
        <f t="shared" si="0"/>
        <v>1.806</v>
      </c>
      <c r="F19" s="7">
        <f t="shared" si="1"/>
        <v>2.688</v>
      </c>
      <c r="H19" s="224" t="s">
        <v>85</v>
      </c>
      <c r="I19" s="197">
        <f t="shared" si="2"/>
        <v>1.075</v>
      </c>
      <c r="J19" s="197">
        <f t="shared" si="3"/>
        <v>1.6</v>
      </c>
      <c r="K19" s="222">
        <v>650</v>
      </c>
      <c r="L19" s="198">
        <f t="shared" si="4"/>
        <v>0.69875</v>
      </c>
      <c r="M19" s="198">
        <f t="shared" si="5"/>
        <v>1.04</v>
      </c>
    </row>
    <row r="20" spans="1:13" ht="17.25" customHeight="1">
      <c r="A20" s="174" t="s">
        <v>86</v>
      </c>
      <c r="B20" s="173">
        <v>55</v>
      </c>
      <c r="C20" s="173">
        <v>60.5</v>
      </c>
      <c r="D20" s="92">
        <v>240</v>
      </c>
      <c r="E20" s="7">
        <f t="shared" si="0"/>
        <v>13.2</v>
      </c>
      <c r="F20" s="7">
        <f t="shared" si="1"/>
        <v>14.52</v>
      </c>
      <c r="H20" s="224" t="s">
        <v>86</v>
      </c>
      <c r="I20" s="196">
        <f t="shared" si="2"/>
        <v>13.75</v>
      </c>
      <c r="J20" s="196">
        <f t="shared" si="3"/>
        <v>15.125</v>
      </c>
      <c r="K20" s="222">
        <v>350</v>
      </c>
      <c r="L20" s="198">
        <f t="shared" si="4"/>
        <v>4.8125</v>
      </c>
      <c r="M20" s="198">
        <f t="shared" si="5"/>
        <v>5.29375</v>
      </c>
    </row>
    <row r="21" spans="1:13" ht="28.5" customHeight="1">
      <c r="A21" s="175" t="s">
        <v>45</v>
      </c>
      <c r="B21" s="173">
        <v>22</v>
      </c>
      <c r="C21" s="173">
        <v>26</v>
      </c>
      <c r="D21" s="92">
        <v>175</v>
      </c>
      <c r="E21" s="7">
        <f t="shared" si="0"/>
        <v>3.8499999999999996</v>
      </c>
      <c r="F21" s="7">
        <f t="shared" si="1"/>
        <v>4.55</v>
      </c>
      <c r="H21" s="225" t="s">
        <v>45</v>
      </c>
      <c r="I21" s="196">
        <f t="shared" si="2"/>
        <v>5.5</v>
      </c>
      <c r="J21" s="196">
        <f t="shared" si="3"/>
        <v>6.5</v>
      </c>
      <c r="K21" s="222">
        <v>220</v>
      </c>
      <c r="L21" s="198">
        <f t="shared" si="4"/>
        <v>1.21</v>
      </c>
      <c r="M21" s="198">
        <f t="shared" si="5"/>
        <v>1.43</v>
      </c>
    </row>
    <row r="22" spans="1:13" ht="16.5" customHeight="1">
      <c r="A22" s="66" t="s">
        <v>21</v>
      </c>
      <c r="B22" s="89">
        <v>34</v>
      </c>
      <c r="C22" s="89">
        <v>39</v>
      </c>
      <c r="D22" s="92">
        <v>500</v>
      </c>
      <c r="E22" s="7">
        <f t="shared" si="0"/>
        <v>17</v>
      </c>
      <c r="F22" s="7">
        <f t="shared" si="1"/>
        <v>19.5</v>
      </c>
      <c r="H22" s="225" t="s">
        <v>21</v>
      </c>
      <c r="I22" s="196">
        <f t="shared" si="2"/>
        <v>8.5</v>
      </c>
      <c r="J22" s="196">
        <f t="shared" si="3"/>
        <v>9.75</v>
      </c>
      <c r="K22" s="229">
        <f>700-215</f>
        <v>485</v>
      </c>
      <c r="L22" s="198">
        <f t="shared" si="4"/>
        <v>4.1225000000000005</v>
      </c>
      <c r="M22" s="198">
        <f t="shared" si="5"/>
        <v>4.72875</v>
      </c>
    </row>
    <row r="23" spans="1:13" ht="23.25" customHeight="1">
      <c r="A23" s="66" t="s">
        <v>87</v>
      </c>
      <c r="B23" s="89">
        <v>0</v>
      </c>
      <c r="C23" s="89">
        <v>7</v>
      </c>
      <c r="D23" s="92">
        <v>260</v>
      </c>
      <c r="E23" s="7">
        <f>B23/1000*D23</f>
        <v>0</v>
      </c>
      <c r="F23" s="7">
        <f t="shared" si="1"/>
        <v>1.82</v>
      </c>
      <c r="H23" s="225" t="s">
        <v>160</v>
      </c>
      <c r="I23" s="196">
        <f t="shared" si="2"/>
        <v>0</v>
      </c>
      <c r="J23" s="196">
        <f t="shared" si="3"/>
        <v>1.75</v>
      </c>
      <c r="K23" s="222">
        <v>400</v>
      </c>
      <c r="L23" s="198">
        <f>I23/1000*K23</f>
        <v>0</v>
      </c>
      <c r="M23" s="198">
        <f t="shared" si="5"/>
        <v>0.7000000000000001</v>
      </c>
    </row>
    <row r="24" spans="1:13" ht="15" customHeight="1">
      <c r="A24" s="66" t="s">
        <v>88</v>
      </c>
      <c r="B24" s="89" t="s">
        <v>46</v>
      </c>
      <c r="C24" s="89" t="s">
        <v>47</v>
      </c>
      <c r="D24" s="93">
        <v>6</v>
      </c>
      <c r="E24" s="94">
        <v>3</v>
      </c>
      <c r="F24" s="94">
        <v>3.6</v>
      </c>
      <c r="H24" s="225" t="s">
        <v>88</v>
      </c>
      <c r="I24" s="132" t="s">
        <v>46</v>
      </c>
      <c r="J24" s="132" t="s">
        <v>47</v>
      </c>
      <c r="K24" s="223">
        <v>6.55</v>
      </c>
      <c r="L24" s="198">
        <v>2.85</v>
      </c>
      <c r="M24" s="198">
        <v>3.42</v>
      </c>
    </row>
    <row r="25" spans="1:13" ht="15" customHeight="1">
      <c r="A25" s="175" t="s">
        <v>4</v>
      </c>
      <c r="B25" s="173">
        <v>160</v>
      </c>
      <c r="C25" s="173">
        <v>187</v>
      </c>
      <c r="D25" s="92">
        <v>28</v>
      </c>
      <c r="E25" s="7">
        <f>B25/1000*D25</f>
        <v>4.48</v>
      </c>
      <c r="F25" s="7">
        <f>C25/1000*D25</f>
        <v>5.236</v>
      </c>
      <c r="H25" s="225" t="s">
        <v>4</v>
      </c>
      <c r="I25" s="196">
        <f>B25*25%</f>
        <v>40</v>
      </c>
      <c r="J25" s="196">
        <f>C25*25%</f>
        <v>46.75</v>
      </c>
      <c r="K25" s="222">
        <v>30.05</v>
      </c>
      <c r="L25" s="198">
        <f>I25/1000*K25</f>
        <v>1.202</v>
      </c>
      <c r="M25" s="198">
        <f>J25/1000*K25</f>
        <v>1.4048375</v>
      </c>
    </row>
    <row r="26" spans="1:13" ht="15" customHeight="1">
      <c r="A26" s="66" t="s">
        <v>22</v>
      </c>
      <c r="B26" s="89">
        <v>256</v>
      </c>
      <c r="C26" s="89">
        <v>325</v>
      </c>
      <c r="D26" s="92">
        <v>150</v>
      </c>
      <c r="E26" s="7">
        <f aca="true" t="shared" si="6" ref="E26:E45">B26/1000*D26</f>
        <v>38.4</v>
      </c>
      <c r="F26" s="7">
        <f aca="true" t="shared" si="7" ref="F26:F45">C26/1000*D26</f>
        <v>48.75</v>
      </c>
      <c r="H26" s="225" t="s">
        <v>22</v>
      </c>
      <c r="I26" s="196">
        <f aca="true" t="shared" si="8" ref="I26:I45">B26*25%</f>
        <v>64</v>
      </c>
      <c r="J26" s="196">
        <f aca="true" t="shared" si="9" ref="J26:J45">C26*25%</f>
        <v>81.25</v>
      </c>
      <c r="K26" s="222">
        <v>160</v>
      </c>
      <c r="L26" s="198">
        <f aca="true" t="shared" si="10" ref="L26:L45">I26/1000*K26</f>
        <v>10.24</v>
      </c>
      <c r="M26" s="198">
        <f aca="true" t="shared" si="11" ref="M26:M45">J26/1000*K26</f>
        <v>13</v>
      </c>
    </row>
    <row r="27" spans="1:13" ht="15" customHeight="1">
      <c r="A27" s="66" t="s">
        <v>5</v>
      </c>
      <c r="B27" s="89">
        <v>108</v>
      </c>
      <c r="C27" s="89">
        <v>114</v>
      </c>
      <c r="D27" s="92">
        <v>150</v>
      </c>
      <c r="E27" s="7">
        <f t="shared" si="6"/>
        <v>16.2</v>
      </c>
      <c r="F27" s="7">
        <f t="shared" si="7"/>
        <v>17.1</v>
      </c>
      <c r="H27" s="225" t="s">
        <v>5</v>
      </c>
      <c r="I27" s="196">
        <f t="shared" si="8"/>
        <v>27</v>
      </c>
      <c r="J27" s="196">
        <f t="shared" si="9"/>
        <v>28.5</v>
      </c>
      <c r="K27" s="222">
        <v>140</v>
      </c>
      <c r="L27" s="198">
        <f t="shared" si="10"/>
        <v>3.78</v>
      </c>
      <c r="M27" s="198">
        <f t="shared" si="11"/>
        <v>3.99</v>
      </c>
    </row>
    <row r="28" spans="1:13" ht="15" customHeight="1">
      <c r="A28" s="66" t="s">
        <v>23</v>
      </c>
      <c r="B28" s="89">
        <v>9</v>
      </c>
      <c r="C28" s="89">
        <v>11</v>
      </c>
      <c r="D28" s="92">
        <v>159</v>
      </c>
      <c r="E28" s="7">
        <f t="shared" si="6"/>
        <v>1.4309999999999998</v>
      </c>
      <c r="F28" s="7">
        <f t="shared" si="7"/>
        <v>1.7489999999999999</v>
      </c>
      <c r="H28" s="225" t="s">
        <v>23</v>
      </c>
      <c r="I28" s="196">
        <f t="shared" si="8"/>
        <v>2.25</v>
      </c>
      <c r="J28" s="196">
        <f t="shared" si="9"/>
        <v>2.75</v>
      </c>
      <c r="K28" s="222">
        <v>190</v>
      </c>
      <c r="L28" s="198">
        <f t="shared" si="10"/>
        <v>0.4275</v>
      </c>
      <c r="M28" s="198">
        <f t="shared" si="11"/>
        <v>0.5225</v>
      </c>
    </row>
    <row r="29" spans="1:13" ht="28.5" customHeight="1">
      <c r="A29" s="66" t="s">
        <v>24</v>
      </c>
      <c r="B29" s="89">
        <v>100</v>
      </c>
      <c r="C29" s="89">
        <v>100</v>
      </c>
      <c r="D29" s="92">
        <v>55</v>
      </c>
      <c r="E29" s="7">
        <f t="shared" si="6"/>
        <v>5.5</v>
      </c>
      <c r="F29" s="7">
        <f t="shared" si="7"/>
        <v>5.5</v>
      </c>
      <c r="H29" s="225" t="s">
        <v>161</v>
      </c>
      <c r="I29" s="196">
        <f t="shared" si="8"/>
        <v>25</v>
      </c>
      <c r="J29" s="196">
        <f t="shared" si="9"/>
        <v>25</v>
      </c>
      <c r="K29" s="222">
        <v>75</v>
      </c>
      <c r="L29" s="198">
        <f t="shared" si="10"/>
        <v>1.875</v>
      </c>
      <c r="M29" s="198">
        <f t="shared" si="11"/>
        <v>1.875</v>
      </c>
    </row>
    <row r="30" spans="1:13" ht="57.75" customHeight="1">
      <c r="A30" s="66" t="s">
        <v>25</v>
      </c>
      <c r="B30" s="91">
        <v>0</v>
      </c>
      <c r="C30" s="89">
        <v>50</v>
      </c>
      <c r="D30" s="92">
        <v>28</v>
      </c>
      <c r="E30" s="7">
        <f t="shared" si="6"/>
        <v>0</v>
      </c>
      <c r="F30" s="7">
        <f t="shared" si="7"/>
        <v>1.4000000000000001</v>
      </c>
      <c r="H30" s="226" t="s">
        <v>182</v>
      </c>
      <c r="I30" s="196">
        <f t="shared" si="8"/>
        <v>0</v>
      </c>
      <c r="J30" s="196">
        <f t="shared" si="9"/>
        <v>12.5</v>
      </c>
      <c r="K30" s="222">
        <v>70</v>
      </c>
      <c r="L30" s="198">
        <f t="shared" si="10"/>
        <v>0</v>
      </c>
      <c r="M30" s="198">
        <f t="shared" si="11"/>
        <v>0.875</v>
      </c>
    </row>
    <row r="31" spans="1:13" ht="15" customHeight="1">
      <c r="A31" s="65" t="s">
        <v>26</v>
      </c>
      <c r="B31" s="89">
        <v>40</v>
      </c>
      <c r="C31" s="89">
        <v>50</v>
      </c>
      <c r="D31" s="92">
        <v>42</v>
      </c>
      <c r="E31" s="7">
        <f t="shared" si="6"/>
        <v>1.68</v>
      </c>
      <c r="F31" s="7">
        <f t="shared" si="7"/>
        <v>2.1</v>
      </c>
      <c r="H31" s="224" t="s">
        <v>26</v>
      </c>
      <c r="I31" s="196">
        <f t="shared" si="8"/>
        <v>10</v>
      </c>
      <c r="J31" s="196">
        <f t="shared" si="9"/>
        <v>12.5</v>
      </c>
      <c r="K31" s="222">
        <v>45.09</v>
      </c>
      <c r="L31" s="198">
        <f t="shared" si="10"/>
        <v>0.4509</v>
      </c>
      <c r="M31" s="198">
        <f t="shared" si="11"/>
        <v>0.563625</v>
      </c>
    </row>
    <row r="32" spans="1:13" ht="15" customHeight="1">
      <c r="A32" s="65" t="s">
        <v>27</v>
      </c>
      <c r="B32" s="89">
        <v>60</v>
      </c>
      <c r="C32" s="89">
        <v>80</v>
      </c>
      <c r="D32" s="92">
        <v>45</v>
      </c>
      <c r="E32" s="7">
        <f t="shared" si="6"/>
        <v>2.6999999999999997</v>
      </c>
      <c r="F32" s="7">
        <f t="shared" si="7"/>
        <v>3.6</v>
      </c>
      <c r="H32" s="224" t="s">
        <v>27</v>
      </c>
      <c r="I32" s="196">
        <f t="shared" si="8"/>
        <v>15</v>
      </c>
      <c r="J32" s="196">
        <f t="shared" si="9"/>
        <v>20</v>
      </c>
      <c r="K32" s="222">
        <v>46.42</v>
      </c>
      <c r="L32" s="198">
        <f t="shared" si="10"/>
        <v>0.6963</v>
      </c>
      <c r="M32" s="198">
        <f t="shared" si="11"/>
        <v>0.9284</v>
      </c>
    </row>
    <row r="33" spans="1:13" ht="15" customHeight="1">
      <c r="A33" s="65" t="s">
        <v>28</v>
      </c>
      <c r="B33" s="89">
        <v>30</v>
      </c>
      <c r="C33" s="89">
        <v>43</v>
      </c>
      <c r="D33" s="92">
        <v>60</v>
      </c>
      <c r="E33" s="7">
        <f t="shared" si="6"/>
        <v>1.7999999999999998</v>
      </c>
      <c r="F33" s="7">
        <f t="shared" si="7"/>
        <v>2.5799999999999996</v>
      </c>
      <c r="H33" s="224" t="s">
        <v>28</v>
      </c>
      <c r="I33" s="196">
        <f t="shared" si="8"/>
        <v>7.5</v>
      </c>
      <c r="J33" s="196">
        <f t="shared" si="9"/>
        <v>10.75</v>
      </c>
      <c r="K33" s="222">
        <v>80</v>
      </c>
      <c r="L33" s="198">
        <f t="shared" si="10"/>
        <v>0.6</v>
      </c>
      <c r="M33" s="198">
        <f t="shared" si="11"/>
        <v>0.8599999999999999</v>
      </c>
    </row>
    <row r="34" spans="1:13" ht="15" customHeight="1">
      <c r="A34" s="65" t="s">
        <v>3</v>
      </c>
      <c r="B34" s="89">
        <v>8</v>
      </c>
      <c r="C34" s="89">
        <v>12</v>
      </c>
      <c r="D34" s="92">
        <v>44</v>
      </c>
      <c r="E34" s="7">
        <f t="shared" si="6"/>
        <v>0.352</v>
      </c>
      <c r="F34" s="7">
        <f t="shared" si="7"/>
        <v>0.528</v>
      </c>
      <c r="H34" s="224" t="s">
        <v>3</v>
      </c>
      <c r="I34" s="196">
        <f t="shared" si="8"/>
        <v>2</v>
      </c>
      <c r="J34" s="196">
        <f t="shared" si="9"/>
        <v>3</v>
      </c>
      <c r="K34" s="222">
        <v>43.67</v>
      </c>
      <c r="L34" s="198">
        <f t="shared" si="10"/>
        <v>0.08734</v>
      </c>
      <c r="M34" s="198">
        <f t="shared" si="11"/>
        <v>0.13101000000000002</v>
      </c>
    </row>
    <row r="35" spans="1:13" ht="15" customHeight="1">
      <c r="A35" s="65" t="s">
        <v>29</v>
      </c>
      <c r="B35" s="89">
        <v>25</v>
      </c>
      <c r="C35" s="89">
        <v>29</v>
      </c>
      <c r="D35" s="92">
        <v>32</v>
      </c>
      <c r="E35" s="7">
        <f t="shared" si="6"/>
        <v>0.8</v>
      </c>
      <c r="F35" s="7">
        <f t="shared" si="7"/>
        <v>0.928</v>
      </c>
      <c r="H35" s="224" t="s">
        <v>29</v>
      </c>
      <c r="I35" s="196">
        <f t="shared" si="8"/>
        <v>6.25</v>
      </c>
      <c r="J35" s="196">
        <f t="shared" si="9"/>
        <v>7.25</v>
      </c>
      <c r="K35" s="222">
        <v>38.66</v>
      </c>
      <c r="L35" s="198">
        <f t="shared" si="10"/>
        <v>0.24162499999999998</v>
      </c>
      <c r="M35" s="198">
        <f t="shared" si="11"/>
        <v>0.280285</v>
      </c>
    </row>
    <row r="36" spans="1:13" ht="15" customHeight="1">
      <c r="A36" s="65" t="s">
        <v>113</v>
      </c>
      <c r="B36" s="89">
        <v>18</v>
      </c>
      <c r="C36" s="89">
        <v>21</v>
      </c>
      <c r="D36" s="92">
        <v>378</v>
      </c>
      <c r="E36" s="7">
        <f t="shared" si="6"/>
        <v>6.803999999999999</v>
      </c>
      <c r="F36" s="7">
        <f t="shared" si="7"/>
        <v>7.938000000000001</v>
      </c>
      <c r="H36" s="224" t="s">
        <v>113</v>
      </c>
      <c r="I36" s="196">
        <f t="shared" si="8"/>
        <v>4.5</v>
      </c>
      <c r="J36" s="196">
        <f t="shared" si="9"/>
        <v>5.25</v>
      </c>
      <c r="K36" s="229">
        <f>675-77</f>
        <v>598</v>
      </c>
      <c r="L36" s="198">
        <f t="shared" si="10"/>
        <v>2.691</v>
      </c>
      <c r="M36" s="198">
        <f t="shared" si="11"/>
        <v>3.1395000000000004</v>
      </c>
    </row>
    <row r="37" spans="1:13" ht="15" customHeight="1">
      <c r="A37" s="65" t="s">
        <v>31</v>
      </c>
      <c r="B37" s="89">
        <v>9</v>
      </c>
      <c r="C37" s="89">
        <v>11</v>
      </c>
      <c r="D37" s="92">
        <v>110</v>
      </c>
      <c r="E37" s="7">
        <f t="shared" si="6"/>
        <v>0.9899999999999999</v>
      </c>
      <c r="F37" s="7">
        <f t="shared" si="7"/>
        <v>1.21</v>
      </c>
      <c r="H37" s="224" t="s">
        <v>31</v>
      </c>
      <c r="I37" s="196">
        <f t="shared" si="8"/>
        <v>2.25</v>
      </c>
      <c r="J37" s="196">
        <f t="shared" si="9"/>
        <v>2.75</v>
      </c>
      <c r="K37" s="222">
        <v>110</v>
      </c>
      <c r="L37" s="198">
        <f t="shared" si="10"/>
        <v>0.24749999999999997</v>
      </c>
      <c r="M37" s="198">
        <f t="shared" si="11"/>
        <v>0.3025</v>
      </c>
    </row>
    <row r="38" spans="1:13" ht="15" customHeight="1">
      <c r="A38" s="65" t="s">
        <v>32</v>
      </c>
      <c r="B38" s="89">
        <v>7</v>
      </c>
      <c r="C38" s="89">
        <v>20</v>
      </c>
      <c r="D38" s="92">
        <v>180</v>
      </c>
      <c r="E38" s="7">
        <f t="shared" si="6"/>
        <v>1.26</v>
      </c>
      <c r="F38" s="7">
        <f t="shared" si="7"/>
        <v>3.6</v>
      </c>
      <c r="H38" s="224" t="s">
        <v>32</v>
      </c>
      <c r="I38" s="196">
        <f t="shared" si="8"/>
        <v>1.75</v>
      </c>
      <c r="J38" s="196">
        <f t="shared" si="9"/>
        <v>5</v>
      </c>
      <c r="K38" s="222">
        <v>290</v>
      </c>
      <c r="L38" s="198">
        <f t="shared" si="10"/>
        <v>0.5075000000000001</v>
      </c>
      <c r="M38" s="198">
        <f t="shared" si="11"/>
        <v>1.45</v>
      </c>
    </row>
    <row r="39" spans="1:13" ht="15" customHeight="1">
      <c r="A39" s="65" t="s">
        <v>33</v>
      </c>
      <c r="B39" s="89">
        <v>0.5</v>
      </c>
      <c r="C39" s="89">
        <v>0.6</v>
      </c>
      <c r="D39" s="92">
        <v>360</v>
      </c>
      <c r="E39" s="7">
        <f t="shared" si="6"/>
        <v>0.18</v>
      </c>
      <c r="F39" s="7">
        <f t="shared" si="7"/>
        <v>0.21599999999999997</v>
      </c>
      <c r="H39" s="224" t="s">
        <v>33</v>
      </c>
      <c r="I39" s="197">
        <f t="shared" si="8"/>
        <v>0.125</v>
      </c>
      <c r="J39" s="197">
        <f t="shared" si="9"/>
        <v>0.15</v>
      </c>
      <c r="K39" s="222">
        <v>660</v>
      </c>
      <c r="L39" s="198">
        <f t="shared" si="10"/>
        <v>0.0825</v>
      </c>
      <c r="M39" s="198">
        <f t="shared" si="11"/>
        <v>0.09899999999999999</v>
      </c>
    </row>
    <row r="40" spans="1:13" ht="15" customHeight="1">
      <c r="A40" s="65" t="s">
        <v>34</v>
      </c>
      <c r="B40" s="89">
        <v>0.5</v>
      </c>
      <c r="C40" s="89">
        <v>0.6</v>
      </c>
      <c r="D40" s="92">
        <v>350</v>
      </c>
      <c r="E40" s="7">
        <f t="shared" si="6"/>
        <v>0.17500000000000002</v>
      </c>
      <c r="F40" s="7">
        <f t="shared" si="7"/>
        <v>0.21</v>
      </c>
      <c r="H40" s="224" t="s">
        <v>34</v>
      </c>
      <c r="I40" s="197">
        <f t="shared" si="8"/>
        <v>0.125</v>
      </c>
      <c r="J40" s="197">
        <f t="shared" si="9"/>
        <v>0.15</v>
      </c>
      <c r="K40" s="222">
        <v>850</v>
      </c>
      <c r="L40" s="198">
        <f t="shared" si="10"/>
        <v>0.10625</v>
      </c>
      <c r="M40" s="198">
        <f t="shared" si="11"/>
        <v>0.1275</v>
      </c>
    </row>
    <row r="41" spans="1:13" ht="15.75" customHeight="1">
      <c r="A41" s="65" t="s">
        <v>89</v>
      </c>
      <c r="B41" s="90">
        <v>1</v>
      </c>
      <c r="C41" s="89">
        <v>1.2</v>
      </c>
      <c r="D41" s="92">
        <v>450</v>
      </c>
      <c r="E41" s="7">
        <f t="shared" si="6"/>
        <v>0.45</v>
      </c>
      <c r="F41" s="7">
        <f t="shared" si="7"/>
        <v>0.5399999999999999</v>
      </c>
      <c r="H41" s="224" t="s">
        <v>89</v>
      </c>
      <c r="I41" s="197">
        <f t="shared" si="8"/>
        <v>0.25</v>
      </c>
      <c r="J41" s="197">
        <f t="shared" si="9"/>
        <v>0.3</v>
      </c>
      <c r="K41" s="222">
        <v>450</v>
      </c>
      <c r="L41" s="198">
        <f t="shared" si="10"/>
        <v>0.1125</v>
      </c>
      <c r="M41" s="198">
        <f t="shared" si="11"/>
        <v>0.13499999999999998</v>
      </c>
    </row>
    <row r="42" spans="1:13" ht="15" customHeight="1">
      <c r="A42" s="65" t="s">
        <v>35</v>
      </c>
      <c r="B42" s="89">
        <v>37</v>
      </c>
      <c r="C42" s="89">
        <v>47</v>
      </c>
      <c r="D42" s="92">
        <v>62</v>
      </c>
      <c r="E42" s="7">
        <f t="shared" si="6"/>
        <v>2.294</v>
      </c>
      <c r="F42" s="7">
        <f t="shared" si="7"/>
        <v>2.914</v>
      </c>
      <c r="H42" s="224" t="s">
        <v>35</v>
      </c>
      <c r="I42" s="196">
        <f t="shared" si="8"/>
        <v>9.25</v>
      </c>
      <c r="J42" s="196">
        <f t="shared" si="9"/>
        <v>11.75</v>
      </c>
      <c r="K42" s="222">
        <v>53.38</v>
      </c>
      <c r="L42" s="198">
        <f t="shared" si="10"/>
        <v>0.493765</v>
      </c>
      <c r="M42" s="198">
        <f t="shared" si="11"/>
        <v>0.6272150000000001</v>
      </c>
    </row>
    <row r="43" spans="1:13" ht="15" customHeight="1">
      <c r="A43" s="65" t="s">
        <v>9</v>
      </c>
      <c r="B43" s="89">
        <v>0.4</v>
      </c>
      <c r="C43" s="89">
        <v>0.5</v>
      </c>
      <c r="D43" s="92">
        <v>1100</v>
      </c>
      <c r="E43" s="7">
        <f t="shared" si="6"/>
        <v>0.44</v>
      </c>
      <c r="F43" s="7">
        <f t="shared" si="7"/>
        <v>0.55</v>
      </c>
      <c r="H43" s="224" t="s">
        <v>9</v>
      </c>
      <c r="I43" s="197">
        <f t="shared" si="8"/>
        <v>0.1</v>
      </c>
      <c r="J43" s="197">
        <f t="shared" si="9"/>
        <v>0.125</v>
      </c>
      <c r="K43" s="222">
        <v>1600</v>
      </c>
      <c r="L43" s="198">
        <f t="shared" si="10"/>
        <v>0.16</v>
      </c>
      <c r="M43" s="198">
        <f t="shared" si="11"/>
        <v>0.2</v>
      </c>
    </row>
    <row r="44" spans="1:13" ht="15" customHeight="1">
      <c r="A44" s="65" t="s">
        <v>30</v>
      </c>
      <c r="B44" s="89">
        <v>2</v>
      </c>
      <c r="C44" s="89">
        <v>3</v>
      </c>
      <c r="D44" s="92">
        <v>180</v>
      </c>
      <c r="E44" s="7">
        <f t="shared" si="6"/>
        <v>0.36</v>
      </c>
      <c r="F44" s="7">
        <f t="shared" si="7"/>
        <v>0.54</v>
      </c>
      <c r="H44" s="224" t="s">
        <v>30</v>
      </c>
      <c r="I44" s="196">
        <f t="shared" si="8"/>
        <v>0.5</v>
      </c>
      <c r="J44" s="196">
        <f t="shared" si="9"/>
        <v>0.75</v>
      </c>
      <c r="K44" s="222">
        <v>190</v>
      </c>
      <c r="L44" s="198">
        <f t="shared" si="10"/>
        <v>0.095</v>
      </c>
      <c r="M44" s="198">
        <f t="shared" si="11"/>
        <v>0.14250000000000002</v>
      </c>
    </row>
    <row r="45" spans="1:13" ht="15" customHeight="1">
      <c r="A45" s="67" t="s">
        <v>36</v>
      </c>
      <c r="B45" s="89">
        <v>4</v>
      </c>
      <c r="C45" s="89">
        <v>6</v>
      </c>
      <c r="D45" s="92">
        <v>16</v>
      </c>
      <c r="E45" s="7">
        <f t="shared" si="6"/>
        <v>0.064</v>
      </c>
      <c r="F45" s="7">
        <f t="shared" si="7"/>
        <v>0.096</v>
      </c>
      <c r="H45" s="227" t="s">
        <v>36</v>
      </c>
      <c r="I45" s="196">
        <f t="shared" si="8"/>
        <v>1</v>
      </c>
      <c r="J45" s="196">
        <f t="shared" si="9"/>
        <v>1.5</v>
      </c>
      <c r="K45" s="222">
        <v>19.76</v>
      </c>
      <c r="L45" s="198">
        <f t="shared" si="10"/>
        <v>0.019760000000000003</v>
      </c>
      <c r="M45" s="198">
        <f t="shared" si="11"/>
        <v>0.029640000000000003</v>
      </c>
    </row>
    <row r="46" spans="1:13" ht="18" customHeight="1">
      <c r="A46" s="16" t="s">
        <v>37</v>
      </c>
      <c r="B46" s="12"/>
      <c r="C46" s="12"/>
      <c r="D46" s="12"/>
      <c r="E46" s="17">
        <f>SUM(E16:E45)</f>
        <v>166.16600000000005</v>
      </c>
      <c r="F46" s="17">
        <f>SUM(F16:F45)</f>
        <v>203.63299999999998</v>
      </c>
      <c r="H46" s="135" t="s">
        <v>37</v>
      </c>
      <c r="I46" s="136"/>
      <c r="J46" s="136"/>
      <c r="K46" s="136"/>
      <c r="L46" s="137">
        <f>SUM(L16:L45)</f>
        <v>49.16519000000001</v>
      </c>
      <c r="M46" s="137">
        <f>SUM(M16:M45)</f>
        <v>60.951012500000004</v>
      </c>
    </row>
    <row r="47" spans="1:13" ht="20.25" customHeight="1">
      <c r="A47" s="38" t="s">
        <v>38</v>
      </c>
      <c r="B47" s="39"/>
      <c r="C47" s="40"/>
      <c r="D47" s="41">
        <f>ROUND((F46+E46)/2,2)</f>
        <v>184.9</v>
      </c>
      <c r="E47" s="39"/>
      <c r="F47" s="40"/>
      <c r="H47" s="38" t="s">
        <v>38</v>
      </c>
      <c r="I47" s="39"/>
      <c r="J47" s="40"/>
      <c r="K47" s="230">
        <f>ROUND((M46+L46)/2,2)</f>
        <v>55.06</v>
      </c>
      <c r="L47" s="39"/>
      <c r="M47" s="40"/>
    </row>
    <row r="48" spans="5:13" ht="12.75">
      <c r="E48" s="42"/>
      <c r="F48" s="42"/>
      <c r="L48" s="42"/>
      <c r="M48" s="42"/>
    </row>
    <row r="49" spans="3:12" ht="12.75">
      <c r="C49" s="30" t="s">
        <v>114</v>
      </c>
      <c r="D49" s="95">
        <v>157.6</v>
      </c>
      <c r="E49" s="42"/>
      <c r="J49" s="30"/>
      <c r="K49" s="124"/>
      <c r="L49" s="42"/>
    </row>
    <row r="50" spans="3:13" ht="12.75">
      <c r="C50" s="15" t="s">
        <v>111</v>
      </c>
      <c r="D50" s="99">
        <f>D47/D49%-100</f>
        <v>17.322335025380724</v>
      </c>
      <c r="F50" s="43"/>
      <c r="J50" s="15" t="s">
        <v>137</v>
      </c>
      <c r="K50" s="124">
        <v>49.29</v>
      </c>
      <c r="M50" s="43"/>
    </row>
    <row r="51" spans="3:11" ht="12.75">
      <c r="C51" s="15" t="s">
        <v>115</v>
      </c>
      <c r="D51" s="96">
        <f>D47-D49</f>
        <v>27.30000000000001</v>
      </c>
      <c r="J51" s="15" t="s">
        <v>111</v>
      </c>
      <c r="K51" s="124">
        <f>K47/K50-100%</f>
        <v>0.11706228443903433</v>
      </c>
    </row>
    <row r="52" spans="10:11" ht="12.75">
      <c r="J52" s="15" t="s">
        <v>115</v>
      </c>
      <c r="K52" s="44">
        <f>K47-K50</f>
        <v>5.770000000000003</v>
      </c>
    </row>
  </sheetData>
  <sheetProtection/>
  <mergeCells count="21">
    <mergeCell ref="A8:F8"/>
    <mergeCell ref="A10:F10"/>
    <mergeCell ref="A12:F12"/>
    <mergeCell ref="A14:A15"/>
    <mergeCell ref="B14:C14"/>
    <mergeCell ref="D14:D15"/>
    <mergeCell ref="E14:F14"/>
    <mergeCell ref="A9:F9"/>
    <mergeCell ref="H12:M12"/>
    <mergeCell ref="H14:H15"/>
    <mergeCell ref="I14:J14"/>
    <mergeCell ref="K14:K15"/>
    <mergeCell ref="L14:M14"/>
    <mergeCell ref="H8:M8"/>
    <mergeCell ref="H9:M9"/>
    <mergeCell ref="K2:M2"/>
    <mergeCell ref="K3:M3"/>
    <mergeCell ref="K4:M4"/>
    <mergeCell ref="K5:M5"/>
    <mergeCell ref="K6:M6"/>
    <mergeCell ref="H10:M10"/>
  </mergeCells>
  <printOptions/>
  <pageMargins left="0.7086614173228347" right="0.15748031496062992" top="0.5511811023622047" bottom="0.31496062992125984" header="0.31496062992125984" footer="0.31496062992125984"/>
  <pageSetup horizontalDpi="600" verticalDpi="600" orientation="portrait" paperSize="9" scale="8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M52"/>
  <sheetViews>
    <sheetView view="pageBreakPreview" zoomScaleSheetLayoutView="100" zoomScalePageLayoutView="0" workbookViewId="0" topLeftCell="H4">
      <selection activeCell="N14" sqref="N14"/>
    </sheetView>
  </sheetViews>
  <sheetFormatPr defaultColWidth="9.140625" defaultRowHeight="12.75"/>
  <cols>
    <col min="1" max="1" width="36.7109375" style="9" hidden="1" customWidth="1"/>
    <col min="2" max="3" width="11.7109375" style="9" hidden="1" customWidth="1"/>
    <col min="4" max="4" width="10.8515625" style="9" hidden="1" customWidth="1"/>
    <col min="5" max="6" width="12.8515625" style="9" hidden="1" customWidth="1"/>
    <col min="7" max="7" width="9.140625" style="9" hidden="1" customWidth="1"/>
    <col min="8" max="8" width="39.8515625" style="9" customWidth="1"/>
    <col min="9" max="10" width="11.7109375" style="9" customWidth="1"/>
    <col min="11" max="11" width="10.8515625" style="9" customWidth="1"/>
    <col min="12" max="12" width="12.8515625" style="9" customWidth="1"/>
    <col min="13" max="13" width="14.7109375" style="9" customWidth="1"/>
    <col min="14" max="16384" width="9.140625" style="9" customWidth="1"/>
  </cols>
  <sheetData>
    <row r="1" ht="12.75">
      <c r="M1" s="9" t="s">
        <v>154</v>
      </c>
    </row>
    <row r="2" spans="8:13" ht="12.75">
      <c r="H2" s="158"/>
      <c r="K2" s="372" t="s">
        <v>146</v>
      </c>
      <c r="L2" s="372"/>
      <c r="M2" s="372"/>
    </row>
    <row r="3" spans="11:13" ht="12.75">
      <c r="K3" s="373" t="s">
        <v>147</v>
      </c>
      <c r="L3" s="373"/>
      <c r="M3" s="373"/>
    </row>
    <row r="4" spans="11:13" ht="12.75">
      <c r="K4" s="373" t="s">
        <v>148</v>
      </c>
      <c r="L4" s="373"/>
      <c r="M4" s="373"/>
    </row>
    <row r="5" spans="11:13" ht="18.75" customHeight="1">
      <c r="K5" s="373" t="s">
        <v>183</v>
      </c>
      <c r="L5" s="373"/>
      <c r="M5" s="373"/>
    </row>
    <row r="6" spans="1:13" ht="15.75">
      <c r="A6" s="11"/>
      <c r="B6" s="1"/>
      <c r="C6" s="2"/>
      <c r="E6" s="8"/>
      <c r="F6" s="4"/>
      <c r="H6" s="11"/>
      <c r="I6" s="11"/>
      <c r="J6" s="129"/>
      <c r="K6" s="386"/>
      <c r="L6" s="386"/>
      <c r="M6" s="386"/>
    </row>
    <row r="7" spans="1:13" ht="12.75">
      <c r="A7" s="3"/>
      <c r="B7" s="3"/>
      <c r="C7" s="3"/>
      <c r="D7" s="3"/>
      <c r="E7" s="3"/>
      <c r="F7" s="3"/>
      <c r="H7" s="131"/>
      <c r="I7" s="131"/>
      <c r="J7" s="131"/>
      <c r="K7" s="131"/>
      <c r="L7" s="131"/>
      <c r="M7" s="131"/>
    </row>
    <row r="8" spans="1:13" ht="12.75">
      <c r="A8" s="376" t="s">
        <v>14</v>
      </c>
      <c r="B8" s="376"/>
      <c r="C8" s="376"/>
      <c r="D8" s="376"/>
      <c r="E8" s="376"/>
      <c r="F8" s="376"/>
      <c r="H8" s="380" t="s">
        <v>14</v>
      </c>
      <c r="I8" s="380"/>
      <c r="J8" s="380"/>
      <c r="K8" s="380"/>
      <c r="L8" s="380"/>
      <c r="M8" s="380"/>
    </row>
    <row r="9" spans="1:13" ht="12.75">
      <c r="A9" s="374" t="s">
        <v>122</v>
      </c>
      <c r="B9" s="374"/>
      <c r="C9" s="374"/>
      <c r="D9" s="374"/>
      <c r="E9" s="374"/>
      <c r="F9" s="374"/>
      <c r="H9" s="381" t="s">
        <v>122</v>
      </c>
      <c r="I9" s="381"/>
      <c r="J9" s="381"/>
      <c r="K9" s="381"/>
      <c r="L9" s="381"/>
      <c r="M9" s="381"/>
    </row>
    <row r="10" spans="1:13" ht="12.75">
      <c r="A10" s="377" t="s">
        <v>119</v>
      </c>
      <c r="B10" s="377"/>
      <c r="C10" s="377"/>
      <c r="D10" s="377"/>
      <c r="E10" s="377"/>
      <c r="F10" s="377"/>
      <c r="H10" s="380" t="s">
        <v>195</v>
      </c>
      <c r="I10" s="380"/>
      <c r="J10" s="380"/>
      <c r="K10" s="380"/>
      <c r="L10" s="380"/>
      <c r="M10" s="380"/>
    </row>
    <row r="11" spans="1:13" ht="12.75">
      <c r="A11" s="310"/>
      <c r="B11" s="310"/>
      <c r="C11" s="310"/>
      <c r="D11" s="310"/>
      <c r="E11" s="310"/>
      <c r="F11" s="310"/>
      <c r="H11" s="134"/>
      <c r="I11" s="134"/>
      <c r="J11" s="134"/>
      <c r="K11" s="134"/>
      <c r="L11" s="134"/>
      <c r="M11" s="134"/>
    </row>
    <row r="12" spans="1:13" ht="12.75">
      <c r="A12" s="378" t="s">
        <v>123</v>
      </c>
      <c r="B12" s="378"/>
      <c r="C12" s="378"/>
      <c r="D12" s="378"/>
      <c r="E12" s="378"/>
      <c r="F12" s="378"/>
      <c r="H12" s="382" t="s">
        <v>244</v>
      </c>
      <c r="I12" s="382"/>
      <c r="J12" s="382"/>
      <c r="K12" s="382"/>
      <c r="L12" s="382"/>
      <c r="M12" s="382"/>
    </row>
    <row r="13" spans="4:13" ht="13.5" thickBot="1">
      <c r="D13" s="5"/>
      <c r="E13" s="5"/>
      <c r="F13" s="5"/>
      <c r="H13" s="13"/>
      <c r="I13" s="13"/>
      <c r="J13" s="13"/>
      <c r="K13" s="130"/>
      <c r="L13" s="130"/>
      <c r="M13" s="130"/>
    </row>
    <row r="14" spans="1:13" ht="42" customHeight="1">
      <c r="A14" s="379" t="s">
        <v>15</v>
      </c>
      <c r="B14" s="379" t="s">
        <v>40</v>
      </c>
      <c r="C14" s="379"/>
      <c r="D14" s="379" t="s">
        <v>16</v>
      </c>
      <c r="E14" s="379" t="s">
        <v>17</v>
      </c>
      <c r="F14" s="379"/>
      <c r="H14" s="383" t="s">
        <v>15</v>
      </c>
      <c r="I14" s="383" t="s">
        <v>40</v>
      </c>
      <c r="J14" s="383"/>
      <c r="K14" s="384" t="s">
        <v>196</v>
      </c>
      <c r="L14" s="383" t="s">
        <v>17</v>
      </c>
      <c r="M14" s="383"/>
    </row>
    <row r="15" spans="1:13" ht="15" customHeight="1" thickBot="1">
      <c r="A15" s="379"/>
      <c r="B15" s="6" t="s">
        <v>18</v>
      </c>
      <c r="C15" s="6" t="s">
        <v>19</v>
      </c>
      <c r="D15" s="379"/>
      <c r="E15" s="6" t="s">
        <v>18</v>
      </c>
      <c r="F15" s="6" t="s">
        <v>19</v>
      </c>
      <c r="H15" s="383"/>
      <c r="I15" s="132" t="s">
        <v>18</v>
      </c>
      <c r="J15" s="132" t="s">
        <v>19</v>
      </c>
      <c r="K15" s="385"/>
      <c r="L15" s="132" t="s">
        <v>18</v>
      </c>
      <c r="M15" s="132" t="s">
        <v>19</v>
      </c>
    </row>
    <row r="16" spans="1:13" ht="16.5" customHeight="1">
      <c r="A16" s="65" t="s">
        <v>83</v>
      </c>
      <c r="B16" s="89">
        <v>390</v>
      </c>
      <c r="C16" s="89">
        <v>450</v>
      </c>
      <c r="D16" s="92">
        <v>67</v>
      </c>
      <c r="E16" s="7">
        <f>B16/1000*D16</f>
        <v>26.130000000000003</v>
      </c>
      <c r="F16" s="7">
        <f>C16/1000*D16</f>
        <v>30.150000000000002</v>
      </c>
      <c r="H16" s="65" t="s">
        <v>209</v>
      </c>
      <c r="I16" s="197">
        <f>'ДОУ 2022 цена по контр'!H16*25%</f>
        <v>97.5</v>
      </c>
      <c r="J16" s="197">
        <f>'ДОУ 2022 цена по контр'!I16*25%</f>
        <v>112.5</v>
      </c>
      <c r="K16" s="132">
        <v>84.6</v>
      </c>
      <c r="L16" s="198">
        <f>I16*K16/1000</f>
        <v>8.2485</v>
      </c>
      <c r="M16" s="198">
        <f>J16*K16/1000</f>
        <v>9.5175</v>
      </c>
    </row>
    <row r="17" spans="1:13" ht="15.75" customHeight="1">
      <c r="A17" s="65" t="s">
        <v>84</v>
      </c>
      <c r="B17" s="89">
        <v>30</v>
      </c>
      <c r="C17" s="89">
        <v>40</v>
      </c>
      <c r="D17" s="92">
        <v>422</v>
      </c>
      <c r="E17" s="7">
        <f aca="true" t="shared" si="0" ref="E17:E22">B17/1000*D17</f>
        <v>12.66</v>
      </c>
      <c r="F17" s="7">
        <f aca="true" t="shared" si="1" ref="F17:F23">C17/1000*D17</f>
        <v>16.88</v>
      </c>
      <c r="H17" s="65" t="s">
        <v>210</v>
      </c>
      <c r="I17" s="197">
        <f>'ДОУ 2022 цена по контр'!H17*25%</f>
        <v>7.5</v>
      </c>
      <c r="J17" s="197">
        <f>'ДОУ 2022 цена по контр'!I17*25%</f>
        <v>10</v>
      </c>
      <c r="K17" s="132">
        <v>452.5</v>
      </c>
      <c r="L17" s="198">
        <f aca="true" t="shared" si="2" ref="L17:L45">I17*K17/1000</f>
        <v>3.39375</v>
      </c>
      <c r="M17" s="198">
        <f aca="true" t="shared" si="3" ref="M17:M45">J17*K17/1000</f>
        <v>4.525</v>
      </c>
    </row>
    <row r="18" spans="1:13" ht="15" customHeight="1">
      <c r="A18" s="65" t="s">
        <v>20</v>
      </c>
      <c r="B18" s="89">
        <v>9</v>
      </c>
      <c r="C18" s="89">
        <v>11</v>
      </c>
      <c r="D18" s="92">
        <v>240</v>
      </c>
      <c r="E18" s="7">
        <f t="shared" si="0"/>
        <v>2.1599999999999997</v>
      </c>
      <c r="F18" s="7">
        <f t="shared" si="1"/>
        <v>2.6399999999999997</v>
      </c>
      <c r="H18" s="65" t="s">
        <v>211</v>
      </c>
      <c r="I18" s="197">
        <f>'ДОУ 2022 цена по контр'!H18*25%</f>
        <v>2.25</v>
      </c>
      <c r="J18" s="197">
        <f>'ДОУ 2022 цена по контр'!I18*25%</f>
        <v>2.75</v>
      </c>
      <c r="K18" s="132">
        <v>250</v>
      </c>
      <c r="L18" s="198">
        <f t="shared" si="2"/>
        <v>0.5625</v>
      </c>
      <c r="M18" s="198">
        <f t="shared" si="3"/>
        <v>0.6875</v>
      </c>
    </row>
    <row r="19" spans="1:13" ht="15" customHeight="1">
      <c r="A19" s="65" t="s">
        <v>85</v>
      </c>
      <c r="B19" s="89">
        <v>4.3</v>
      </c>
      <c r="C19" s="89">
        <v>6.4</v>
      </c>
      <c r="D19" s="92">
        <v>420</v>
      </c>
      <c r="E19" s="7">
        <f t="shared" si="0"/>
        <v>1.806</v>
      </c>
      <c r="F19" s="7">
        <f t="shared" si="1"/>
        <v>2.688</v>
      </c>
      <c r="H19" s="65" t="s">
        <v>212</v>
      </c>
      <c r="I19" s="197">
        <f>'ДОУ 2022 цена по контр'!H19*25%</f>
        <v>1</v>
      </c>
      <c r="J19" s="197">
        <f>'ДОУ 2022 цена по контр'!I19*25%</f>
        <v>1.5</v>
      </c>
      <c r="K19" s="132">
        <v>530</v>
      </c>
      <c r="L19" s="198">
        <f t="shared" si="2"/>
        <v>0.53</v>
      </c>
      <c r="M19" s="198">
        <f t="shared" si="3"/>
        <v>0.795</v>
      </c>
    </row>
    <row r="20" spans="1:13" ht="17.25" customHeight="1">
      <c r="A20" s="174" t="s">
        <v>86</v>
      </c>
      <c r="B20" s="173">
        <v>55</v>
      </c>
      <c r="C20" s="173">
        <v>60.5</v>
      </c>
      <c r="D20" s="92">
        <v>240</v>
      </c>
      <c r="E20" s="7">
        <f t="shared" si="0"/>
        <v>13.2</v>
      </c>
      <c r="F20" s="7">
        <f t="shared" si="1"/>
        <v>14.52</v>
      </c>
      <c r="H20" s="65" t="s">
        <v>213</v>
      </c>
      <c r="I20" s="197">
        <f>'ДОУ 2022 цена по контр'!H20*25%</f>
        <v>12.5</v>
      </c>
      <c r="J20" s="197">
        <f>'ДОУ 2022 цена по контр'!I20*25%</f>
        <v>13.75</v>
      </c>
      <c r="K20" s="132">
        <v>310</v>
      </c>
      <c r="L20" s="198">
        <f t="shared" si="2"/>
        <v>3.875</v>
      </c>
      <c r="M20" s="198">
        <f t="shared" si="3"/>
        <v>4.2625</v>
      </c>
    </row>
    <row r="21" spans="1:13" ht="28.5" customHeight="1">
      <c r="A21" s="175" t="s">
        <v>45</v>
      </c>
      <c r="B21" s="173">
        <v>22</v>
      </c>
      <c r="C21" s="173">
        <v>26</v>
      </c>
      <c r="D21" s="92">
        <v>175</v>
      </c>
      <c r="E21" s="7">
        <f t="shared" si="0"/>
        <v>3.8499999999999996</v>
      </c>
      <c r="F21" s="7">
        <f t="shared" si="1"/>
        <v>4.55</v>
      </c>
      <c r="H21" s="66" t="s">
        <v>214</v>
      </c>
      <c r="I21" s="197">
        <f>'ДОУ 2022 цена по контр'!H21*25%</f>
        <v>5</v>
      </c>
      <c r="J21" s="197">
        <f>'ДОУ 2022 цена по контр'!I21*25%</f>
        <v>6</v>
      </c>
      <c r="K21" s="132">
        <v>260</v>
      </c>
      <c r="L21" s="198">
        <f t="shared" si="2"/>
        <v>1.3</v>
      </c>
      <c r="M21" s="198">
        <f t="shared" si="3"/>
        <v>1.56</v>
      </c>
    </row>
    <row r="22" spans="1:13" ht="16.5" customHeight="1">
      <c r="A22" s="66" t="s">
        <v>21</v>
      </c>
      <c r="B22" s="89">
        <v>34</v>
      </c>
      <c r="C22" s="89">
        <v>39</v>
      </c>
      <c r="D22" s="92">
        <v>500</v>
      </c>
      <c r="E22" s="7">
        <f t="shared" si="0"/>
        <v>17</v>
      </c>
      <c r="F22" s="7">
        <f t="shared" si="1"/>
        <v>19.5</v>
      </c>
      <c r="H22" s="66" t="s">
        <v>228</v>
      </c>
      <c r="I22" s="197">
        <f>'ДОУ 2022 цена по контр'!H22*25%</f>
        <v>5</v>
      </c>
      <c r="J22" s="197">
        <f>'ДОУ 2022 цена по контр'!I22*25%</f>
        <v>6.25</v>
      </c>
      <c r="K22" s="132">
        <v>328</v>
      </c>
      <c r="L22" s="198">
        <f t="shared" si="2"/>
        <v>1.64</v>
      </c>
      <c r="M22" s="198">
        <f t="shared" si="3"/>
        <v>2.05</v>
      </c>
    </row>
    <row r="23" spans="1:13" ht="15" customHeight="1">
      <c r="A23" s="66" t="s">
        <v>87</v>
      </c>
      <c r="B23" s="89">
        <v>0</v>
      </c>
      <c r="C23" s="89">
        <v>7</v>
      </c>
      <c r="D23" s="92">
        <v>260</v>
      </c>
      <c r="E23" s="7">
        <f>B23/1000*D23</f>
        <v>0</v>
      </c>
      <c r="F23" s="7">
        <f t="shared" si="1"/>
        <v>1.82</v>
      </c>
      <c r="H23" s="66" t="s">
        <v>215</v>
      </c>
      <c r="I23" s="197">
        <f>'ДОУ 2022 цена по контр'!H23*25%</f>
        <v>8</v>
      </c>
      <c r="J23" s="197">
        <f>'ДОУ 2022 цена по контр'!I23*25%</f>
        <v>9.25</v>
      </c>
      <c r="K23" s="132">
        <v>340</v>
      </c>
      <c r="L23" s="198">
        <f t="shared" si="2"/>
        <v>2.72</v>
      </c>
      <c r="M23" s="198">
        <f t="shared" si="3"/>
        <v>3.145</v>
      </c>
    </row>
    <row r="24" spans="1:13" ht="15" customHeight="1">
      <c r="A24" s="66" t="s">
        <v>88</v>
      </c>
      <c r="B24" s="89" t="s">
        <v>46</v>
      </c>
      <c r="C24" s="89" t="s">
        <v>47</v>
      </c>
      <c r="D24" s="93">
        <v>6</v>
      </c>
      <c r="E24" s="94">
        <v>3</v>
      </c>
      <c r="F24" s="94">
        <v>3.6</v>
      </c>
      <c r="H24" s="66" t="s">
        <v>216</v>
      </c>
      <c r="I24" s="197">
        <f>'ДОУ 2022 цена по контр'!H24*25%</f>
        <v>0.25</v>
      </c>
      <c r="J24" s="197">
        <f>'ДОУ 2022 цена по контр'!I24*25%</f>
        <v>0.25</v>
      </c>
      <c r="K24" s="197">
        <v>9.2</v>
      </c>
      <c r="L24" s="198">
        <f>I24*K24</f>
        <v>2.3</v>
      </c>
      <c r="M24" s="198">
        <f>J24*K24</f>
        <v>2.3</v>
      </c>
    </row>
    <row r="25" spans="1:13" ht="15" customHeight="1">
      <c r="A25" s="175" t="s">
        <v>4</v>
      </c>
      <c r="B25" s="173">
        <v>160</v>
      </c>
      <c r="C25" s="173">
        <v>187</v>
      </c>
      <c r="D25" s="92">
        <v>28</v>
      </c>
      <c r="E25" s="7">
        <f>B25/1000*D25</f>
        <v>4.48</v>
      </c>
      <c r="F25" s="7">
        <f>C25/1000*D25</f>
        <v>5.236</v>
      </c>
      <c r="H25" s="66" t="s">
        <v>4</v>
      </c>
      <c r="I25" s="197">
        <f>'ДОУ 2022 цена по контр'!H25*25%</f>
        <v>30</v>
      </c>
      <c r="J25" s="197">
        <f>'ДОУ 2022 цена по контр'!I25*25%</f>
        <v>35</v>
      </c>
      <c r="K25" s="132">
        <v>45</v>
      </c>
      <c r="L25" s="198">
        <f t="shared" si="2"/>
        <v>1.35</v>
      </c>
      <c r="M25" s="198">
        <f t="shared" si="3"/>
        <v>1.575</v>
      </c>
    </row>
    <row r="26" spans="1:13" ht="54" customHeight="1">
      <c r="A26" s="66" t="s">
        <v>22</v>
      </c>
      <c r="B26" s="89">
        <v>256</v>
      </c>
      <c r="C26" s="89">
        <v>325</v>
      </c>
      <c r="D26" s="92">
        <v>150</v>
      </c>
      <c r="E26" s="7">
        <f aca="true" t="shared" si="4" ref="E26:E45">B26/1000*D26</f>
        <v>38.4</v>
      </c>
      <c r="F26" s="7">
        <f aca="true" t="shared" si="5" ref="F26:F45">C26/1000*D26</f>
        <v>48.75</v>
      </c>
      <c r="H26" s="66" t="s">
        <v>217</v>
      </c>
      <c r="I26" s="197">
        <f>'ДОУ 2022 цена по контр'!H26*25%</f>
        <v>39.12</v>
      </c>
      <c r="J26" s="197">
        <f>'ДОУ 2022 цена по контр'!I26*25%</f>
        <v>60.9125</v>
      </c>
      <c r="K26" s="132">
        <v>142.58</v>
      </c>
      <c r="L26" s="198">
        <f t="shared" si="2"/>
        <v>5.5777296000000005</v>
      </c>
      <c r="M26" s="198">
        <f t="shared" si="3"/>
        <v>8.68490425</v>
      </c>
    </row>
    <row r="27" spans="1:13" ht="15" customHeight="1">
      <c r="A27" s="66" t="s">
        <v>5</v>
      </c>
      <c r="B27" s="89">
        <v>108</v>
      </c>
      <c r="C27" s="89">
        <v>114</v>
      </c>
      <c r="D27" s="92">
        <v>150</v>
      </c>
      <c r="E27" s="7">
        <f t="shared" si="4"/>
        <v>16.2</v>
      </c>
      <c r="F27" s="7">
        <f t="shared" si="5"/>
        <v>17.1</v>
      </c>
      <c r="H27" s="66" t="s">
        <v>218</v>
      </c>
      <c r="I27" s="197">
        <f>'ДОУ 2022 цена по контр'!H27*25%</f>
        <v>23.75</v>
      </c>
      <c r="J27" s="197">
        <f>'ДОУ 2022 цена по контр'!I27*25%</f>
        <v>25</v>
      </c>
      <c r="K27" s="132">
        <v>160</v>
      </c>
      <c r="L27" s="198">
        <f t="shared" si="2"/>
        <v>3.8</v>
      </c>
      <c r="M27" s="198">
        <f t="shared" si="3"/>
        <v>4</v>
      </c>
    </row>
    <row r="28" spans="1:13" ht="15" customHeight="1">
      <c r="A28" s="66" t="s">
        <v>23</v>
      </c>
      <c r="B28" s="89">
        <v>9</v>
      </c>
      <c r="C28" s="89">
        <v>11</v>
      </c>
      <c r="D28" s="92">
        <v>159</v>
      </c>
      <c r="E28" s="7">
        <f t="shared" si="4"/>
        <v>1.4309999999999998</v>
      </c>
      <c r="F28" s="7">
        <f t="shared" si="5"/>
        <v>1.7489999999999999</v>
      </c>
      <c r="H28" s="66" t="s">
        <v>219</v>
      </c>
      <c r="I28" s="197">
        <f>'ДОУ 2022 цена по контр'!H28*25%</f>
        <v>2.25</v>
      </c>
      <c r="J28" s="197">
        <f>'ДОУ 2022 цена по контр'!I28*25%</f>
        <v>2.75</v>
      </c>
      <c r="K28" s="132">
        <v>145</v>
      </c>
      <c r="L28" s="198">
        <f t="shared" si="2"/>
        <v>0.32625</v>
      </c>
      <c r="M28" s="198">
        <f t="shared" si="3"/>
        <v>0.39875</v>
      </c>
    </row>
    <row r="29" spans="1:13" ht="12" customHeight="1">
      <c r="A29" s="66" t="s">
        <v>24</v>
      </c>
      <c r="B29" s="89">
        <v>100</v>
      </c>
      <c r="C29" s="89">
        <v>100</v>
      </c>
      <c r="D29" s="92">
        <v>55</v>
      </c>
      <c r="E29" s="7">
        <f t="shared" si="4"/>
        <v>5.5</v>
      </c>
      <c r="F29" s="7">
        <f t="shared" si="5"/>
        <v>5.5</v>
      </c>
      <c r="H29" s="66" t="s">
        <v>220</v>
      </c>
      <c r="I29" s="197">
        <f>'ДОУ 2022 цена по контр'!H29*25%</f>
        <v>25</v>
      </c>
      <c r="J29" s="197">
        <f>'ДОУ 2022 цена по контр'!I29*25%</f>
        <v>25</v>
      </c>
      <c r="K29" s="132">
        <v>70</v>
      </c>
      <c r="L29" s="198">
        <f t="shared" si="2"/>
        <v>1.75</v>
      </c>
      <c r="M29" s="198">
        <f t="shared" si="3"/>
        <v>1.75</v>
      </c>
    </row>
    <row r="30" spans="1:13" ht="16.5" customHeight="1">
      <c r="A30" s="66" t="s">
        <v>25</v>
      </c>
      <c r="B30" s="91">
        <v>0</v>
      </c>
      <c r="C30" s="89">
        <v>50</v>
      </c>
      <c r="D30" s="92">
        <v>28</v>
      </c>
      <c r="E30" s="7">
        <f t="shared" si="4"/>
        <v>0</v>
      </c>
      <c r="F30" s="7">
        <f t="shared" si="5"/>
        <v>1.4000000000000001</v>
      </c>
      <c r="H30" s="66" t="s">
        <v>221</v>
      </c>
      <c r="I30" s="197">
        <f>'ДОУ 2022 цена по контр'!H30*25%</f>
        <v>0</v>
      </c>
      <c r="J30" s="197">
        <f>'ДОУ 2022 цена по контр'!I30*25%</f>
        <v>12.5</v>
      </c>
      <c r="K30" s="132">
        <v>80</v>
      </c>
      <c r="L30" s="198">
        <f t="shared" si="2"/>
        <v>0</v>
      </c>
      <c r="M30" s="198">
        <f t="shared" si="3"/>
        <v>1</v>
      </c>
    </row>
    <row r="31" spans="1:13" ht="15" customHeight="1">
      <c r="A31" s="65" t="s">
        <v>26</v>
      </c>
      <c r="B31" s="89">
        <v>40</v>
      </c>
      <c r="C31" s="89">
        <v>50</v>
      </c>
      <c r="D31" s="92">
        <v>42</v>
      </c>
      <c r="E31" s="7">
        <f t="shared" si="4"/>
        <v>1.68</v>
      </c>
      <c r="F31" s="7">
        <f t="shared" si="5"/>
        <v>2.1</v>
      </c>
      <c r="H31" s="65" t="s">
        <v>222</v>
      </c>
      <c r="I31" s="197">
        <f>'ДОУ 2022 цена по контр'!H31*25%</f>
        <v>10</v>
      </c>
      <c r="J31" s="197">
        <f>'ДОУ 2022 цена по контр'!I31*25%</f>
        <v>12.5</v>
      </c>
      <c r="K31" s="132">
        <v>45</v>
      </c>
      <c r="L31" s="198">
        <f t="shared" si="2"/>
        <v>0.45</v>
      </c>
      <c r="M31" s="198">
        <f t="shared" si="3"/>
        <v>0.5625</v>
      </c>
    </row>
    <row r="32" spans="1:13" ht="15" customHeight="1">
      <c r="A32" s="65" t="s">
        <v>27</v>
      </c>
      <c r="B32" s="89">
        <v>60</v>
      </c>
      <c r="C32" s="89">
        <v>80</v>
      </c>
      <c r="D32" s="92">
        <v>45</v>
      </c>
      <c r="E32" s="7">
        <f t="shared" si="4"/>
        <v>2.6999999999999997</v>
      </c>
      <c r="F32" s="7">
        <f t="shared" si="5"/>
        <v>3.6</v>
      </c>
      <c r="H32" s="65" t="s">
        <v>223</v>
      </c>
      <c r="I32" s="197">
        <f>'ДОУ 2022 цена по контр'!H32*25%</f>
        <v>15</v>
      </c>
      <c r="J32" s="197">
        <f>'ДОУ 2022 цена по контр'!I32*25%</f>
        <v>20</v>
      </c>
      <c r="K32" s="132">
        <v>46</v>
      </c>
      <c r="L32" s="198">
        <f t="shared" si="2"/>
        <v>0.69</v>
      </c>
      <c r="M32" s="198">
        <f t="shared" si="3"/>
        <v>0.92</v>
      </c>
    </row>
    <row r="33" spans="1:13" ht="15" customHeight="1">
      <c r="A33" s="65" t="s">
        <v>28</v>
      </c>
      <c r="B33" s="89">
        <v>30</v>
      </c>
      <c r="C33" s="89">
        <v>43</v>
      </c>
      <c r="D33" s="92">
        <v>60</v>
      </c>
      <c r="E33" s="7">
        <f t="shared" si="4"/>
        <v>1.7999999999999998</v>
      </c>
      <c r="F33" s="7">
        <f t="shared" si="5"/>
        <v>2.5799999999999996</v>
      </c>
      <c r="H33" s="65" t="s">
        <v>224</v>
      </c>
      <c r="I33" s="197">
        <f>'ДОУ 2022 цена по контр'!H33*25%</f>
        <v>7.5</v>
      </c>
      <c r="J33" s="197">
        <f>'ДОУ 2022 цена по контр'!I33*25%</f>
        <v>10.75</v>
      </c>
      <c r="K33" s="132">
        <v>73.5</v>
      </c>
      <c r="L33" s="198">
        <f t="shared" si="2"/>
        <v>0.55125</v>
      </c>
      <c r="M33" s="198">
        <f t="shared" si="3"/>
        <v>0.790125</v>
      </c>
    </row>
    <row r="34" spans="1:13" ht="15" customHeight="1">
      <c r="A34" s="65" t="s">
        <v>3</v>
      </c>
      <c r="B34" s="89">
        <v>8</v>
      </c>
      <c r="C34" s="89">
        <v>12</v>
      </c>
      <c r="D34" s="92">
        <v>44</v>
      </c>
      <c r="E34" s="7">
        <f t="shared" si="4"/>
        <v>0.352</v>
      </c>
      <c r="F34" s="7">
        <f t="shared" si="5"/>
        <v>0.528</v>
      </c>
      <c r="H34" s="65" t="s">
        <v>3</v>
      </c>
      <c r="I34" s="197">
        <f>'ДОУ 2022 цена по контр'!H34*25%</f>
        <v>2</v>
      </c>
      <c r="J34" s="197">
        <f>'ДОУ 2022 цена по контр'!I34*25%</f>
        <v>3</v>
      </c>
      <c r="K34" s="132">
        <v>48</v>
      </c>
      <c r="L34" s="198">
        <f t="shared" si="2"/>
        <v>0.096</v>
      </c>
      <c r="M34" s="198">
        <f t="shared" si="3"/>
        <v>0.144</v>
      </c>
    </row>
    <row r="35" spans="1:13" ht="15" customHeight="1">
      <c r="A35" s="65" t="s">
        <v>29</v>
      </c>
      <c r="B35" s="89">
        <v>25</v>
      </c>
      <c r="C35" s="89">
        <v>29</v>
      </c>
      <c r="D35" s="92">
        <v>32</v>
      </c>
      <c r="E35" s="7">
        <f t="shared" si="4"/>
        <v>0.8</v>
      </c>
      <c r="F35" s="7">
        <f t="shared" si="5"/>
        <v>0.928</v>
      </c>
      <c r="H35" s="65" t="s">
        <v>29</v>
      </c>
      <c r="I35" s="197">
        <f>'ДОУ 2022 цена по контр'!H35*25%</f>
        <v>6.25</v>
      </c>
      <c r="J35" s="197">
        <f>'ДОУ 2022 цена по контр'!I35*25%</f>
        <v>7.25</v>
      </c>
      <c r="K35" s="132">
        <v>38.9</v>
      </c>
      <c r="L35" s="198">
        <f t="shared" si="2"/>
        <v>0.243125</v>
      </c>
      <c r="M35" s="198">
        <f t="shared" si="3"/>
        <v>0.28202499999999997</v>
      </c>
    </row>
    <row r="36" spans="1:13" ht="15" customHeight="1">
      <c r="A36" s="65" t="s">
        <v>113</v>
      </c>
      <c r="B36" s="89">
        <v>18</v>
      </c>
      <c r="C36" s="89">
        <v>21</v>
      </c>
      <c r="D36" s="92">
        <v>378</v>
      </c>
      <c r="E36" s="7">
        <f t="shared" si="4"/>
        <v>6.803999999999999</v>
      </c>
      <c r="F36" s="7">
        <f t="shared" si="5"/>
        <v>7.938000000000001</v>
      </c>
      <c r="H36" s="65" t="s">
        <v>225</v>
      </c>
      <c r="I36" s="197">
        <f>'ДОУ 2022 цена по контр'!H36*25%</f>
        <v>4.5</v>
      </c>
      <c r="J36" s="197">
        <f>'ДОУ 2022 цена по контр'!I36*25%</f>
        <v>5.25</v>
      </c>
      <c r="K36" s="132">
        <v>620</v>
      </c>
      <c r="L36" s="198">
        <f t="shared" si="2"/>
        <v>2.79</v>
      </c>
      <c r="M36" s="198">
        <f t="shared" si="3"/>
        <v>3.255</v>
      </c>
    </row>
    <row r="37" spans="1:13" ht="15" customHeight="1">
      <c r="A37" s="65" t="s">
        <v>31</v>
      </c>
      <c r="B37" s="89">
        <v>9</v>
      </c>
      <c r="C37" s="89">
        <v>11</v>
      </c>
      <c r="D37" s="92">
        <v>110</v>
      </c>
      <c r="E37" s="7">
        <f t="shared" si="4"/>
        <v>0.9899999999999999</v>
      </c>
      <c r="F37" s="7">
        <f t="shared" si="5"/>
        <v>1.21</v>
      </c>
      <c r="H37" s="65" t="s">
        <v>31</v>
      </c>
      <c r="I37" s="197">
        <f>'ДОУ 2022 цена по контр'!H37*25%</f>
        <v>2.25</v>
      </c>
      <c r="J37" s="197">
        <f>'ДОУ 2022 цена по контр'!I37*25%</f>
        <v>2.75</v>
      </c>
      <c r="K37" s="132">
        <v>159.86</v>
      </c>
      <c r="L37" s="198">
        <f t="shared" si="2"/>
        <v>0.35968500000000003</v>
      </c>
      <c r="M37" s="198">
        <f t="shared" si="3"/>
        <v>0.43961500000000003</v>
      </c>
    </row>
    <row r="38" spans="1:13" ht="15" customHeight="1">
      <c r="A38" s="65" t="s">
        <v>32</v>
      </c>
      <c r="B38" s="89">
        <v>7</v>
      </c>
      <c r="C38" s="89">
        <v>20</v>
      </c>
      <c r="D38" s="92">
        <v>180</v>
      </c>
      <c r="E38" s="7">
        <f t="shared" si="4"/>
        <v>1.26</v>
      </c>
      <c r="F38" s="7">
        <f t="shared" si="5"/>
        <v>3.6</v>
      </c>
      <c r="H38" s="65" t="s">
        <v>32</v>
      </c>
      <c r="I38" s="197">
        <f>'ДОУ 2022 цена по контр'!H38*25%</f>
        <v>3</v>
      </c>
      <c r="J38" s="197">
        <f>'ДОУ 2022 цена по контр'!I38*25%</f>
        <v>5</v>
      </c>
      <c r="K38" s="132">
        <v>192</v>
      </c>
      <c r="L38" s="198">
        <f t="shared" si="2"/>
        <v>0.576</v>
      </c>
      <c r="M38" s="198">
        <f t="shared" si="3"/>
        <v>0.96</v>
      </c>
    </row>
    <row r="39" spans="1:13" ht="15" customHeight="1">
      <c r="A39" s="65" t="s">
        <v>33</v>
      </c>
      <c r="B39" s="89">
        <v>0.5</v>
      </c>
      <c r="C39" s="89">
        <v>0.6</v>
      </c>
      <c r="D39" s="92">
        <v>360</v>
      </c>
      <c r="E39" s="7">
        <f t="shared" si="4"/>
        <v>0.18</v>
      </c>
      <c r="F39" s="7">
        <f t="shared" si="5"/>
        <v>0.21599999999999997</v>
      </c>
      <c r="H39" s="65" t="s">
        <v>33</v>
      </c>
      <c r="I39" s="197">
        <f>'ДОУ 2022 цена по контр'!H39*25%</f>
        <v>0.125</v>
      </c>
      <c r="J39" s="197">
        <f>'ДОУ 2022 цена по контр'!I39*25%</f>
        <v>0.15</v>
      </c>
      <c r="K39" s="132">
        <v>523</v>
      </c>
      <c r="L39" s="198">
        <f t="shared" si="2"/>
        <v>0.065375</v>
      </c>
      <c r="M39" s="198">
        <f t="shared" si="3"/>
        <v>0.07845</v>
      </c>
    </row>
    <row r="40" spans="1:13" ht="15" customHeight="1">
      <c r="A40" s="65" t="s">
        <v>34</v>
      </c>
      <c r="B40" s="89">
        <v>0.5</v>
      </c>
      <c r="C40" s="89">
        <v>0.6</v>
      </c>
      <c r="D40" s="92">
        <v>350</v>
      </c>
      <c r="E40" s="7">
        <f t="shared" si="4"/>
        <v>0.17500000000000002</v>
      </c>
      <c r="F40" s="7">
        <f t="shared" si="5"/>
        <v>0.21</v>
      </c>
      <c r="H40" s="65" t="s">
        <v>34</v>
      </c>
      <c r="I40" s="197">
        <f>'ДОУ 2022 цена по контр'!H40*25%</f>
        <v>0.125</v>
      </c>
      <c r="J40" s="197">
        <f>'ДОУ 2022 цена по контр'!I40*25%</f>
        <v>0.15</v>
      </c>
      <c r="K40" s="132">
        <v>900</v>
      </c>
      <c r="L40" s="198">
        <f t="shared" si="2"/>
        <v>0.1125</v>
      </c>
      <c r="M40" s="198">
        <f t="shared" si="3"/>
        <v>0.135</v>
      </c>
    </row>
    <row r="41" spans="1:13" ht="15.75" customHeight="1">
      <c r="A41" s="65" t="s">
        <v>89</v>
      </c>
      <c r="B41" s="90">
        <v>1</v>
      </c>
      <c r="C41" s="89">
        <v>1.2</v>
      </c>
      <c r="D41" s="92">
        <v>450</v>
      </c>
      <c r="E41" s="7">
        <f t="shared" si="4"/>
        <v>0.45</v>
      </c>
      <c r="F41" s="7">
        <f t="shared" si="5"/>
        <v>0.5399999999999999</v>
      </c>
      <c r="H41" s="65" t="s">
        <v>89</v>
      </c>
      <c r="I41" s="197">
        <f>'ДОУ 2022 цена по контр'!H41*25%</f>
        <v>0.25</v>
      </c>
      <c r="J41" s="197">
        <f>'ДОУ 2022 цена по контр'!I41*25%</f>
        <v>0.3</v>
      </c>
      <c r="K41" s="132">
        <v>450</v>
      </c>
      <c r="L41" s="198">
        <f t="shared" si="2"/>
        <v>0.1125</v>
      </c>
      <c r="M41" s="198">
        <f t="shared" si="3"/>
        <v>0.135</v>
      </c>
    </row>
    <row r="42" spans="1:13" ht="80.25" customHeight="1">
      <c r="A42" s="65" t="s">
        <v>35</v>
      </c>
      <c r="B42" s="89">
        <v>37</v>
      </c>
      <c r="C42" s="89">
        <v>47</v>
      </c>
      <c r="D42" s="92">
        <v>62</v>
      </c>
      <c r="E42" s="7">
        <f t="shared" si="4"/>
        <v>2.294</v>
      </c>
      <c r="F42" s="7">
        <f t="shared" si="5"/>
        <v>2.914</v>
      </c>
      <c r="H42" s="65" t="s">
        <v>226</v>
      </c>
      <c r="I42" s="197">
        <f>'ДОУ 2022 цена по контр'!H42*25%</f>
        <v>6.25</v>
      </c>
      <c r="J42" s="197">
        <f>'ДОУ 2022 цена по контр'!I42*25%</f>
        <v>7.5</v>
      </c>
      <c r="K42" s="132">
        <v>78</v>
      </c>
      <c r="L42" s="198">
        <f t="shared" si="2"/>
        <v>0.4875</v>
      </c>
      <c r="M42" s="198">
        <f t="shared" si="3"/>
        <v>0.585</v>
      </c>
    </row>
    <row r="43" spans="1:13" ht="15" customHeight="1">
      <c r="A43" s="65" t="s">
        <v>9</v>
      </c>
      <c r="B43" s="89">
        <v>0.4</v>
      </c>
      <c r="C43" s="89">
        <v>0.5</v>
      </c>
      <c r="D43" s="92">
        <v>1100</v>
      </c>
      <c r="E43" s="7">
        <f t="shared" si="4"/>
        <v>0.44</v>
      </c>
      <c r="F43" s="7">
        <f t="shared" si="5"/>
        <v>0.55</v>
      </c>
      <c r="H43" s="65" t="s">
        <v>9</v>
      </c>
      <c r="I43" s="197">
        <f>'ДОУ 2022 цена по контр'!H43*25%</f>
        <v>0.1</v>
      </c>
      <c r="J43" s="197">
        <f>'ДОУ 2022 цена по контр'!I43*25%</f>
        <v>0.125</v>
      </c>
      <c r="K43" s="132">
        <v>1600</v>
      </c>
      <c r="L43" s="198">
        <f t="shared" si="2"/>
        <v>0.16</v>
      </c>
      <c r="M43" s="198">
        <f t="shared" si="3"/>
        <v>0.2</v>
      </c>
    </row>
    <row r="44" spans="1:13" ht="15" customHeight="1">
      <c r="A44" s="65" t="s">
        <v>30</v>
      </c>
      <c r="B44" s="89">
        <v>2</v>
      </c>
      <c r="C44" s="89">
        <v>3</v>
      </c>
      <c r="D44" s="92">
        <v>180</v>
      </c>
      <c r="E44" s="7">
        <f t="shared" si="4"/>
        <v>0.36</v>
      </c>
      <c r="F44" s="7">
        <f t="shared" si="5"/>
        <v>0.54</v>
      </c>
      <c r="H44" s="65" t="s">
        <v>227</v>
      </c>
      <c r="I44" s="197">
        <f>'ДОУ 2022 цена по контр'!H44*25%</f>
        <v>0.5</v>
      </c>
      <c r="J44" s="197">
        <f>'ДОУ 2022 цена по контр'!I44*25%</f>
        <v>0.75</v>
      </c>
      <c r="K44" s="132">
        <v>270</v>
      </c>
      <c r="L44" s="198">
        <f t="shared" si="2"/>
        <v>0.135</v>
      </c>
      <c r="M44" s="198">
        <f t="shared" si="3"/>
        <v>0.2025</v>
      </c>
    </row>
    <row r="45" spans="1:13" ht="15" customHeight="1">
      <c r="A45" s="67" t="s">
        <v>36</v>
      </c>
      <c r="B45" s="89">
        <v>4</v>
      </c>
      <c r="C45" s="89">
        <v>6</v>
      </c>
      <c r="D45" s="92">
        <v>16</v>
      </c>
      <c r="E45" s="7">
        <f t="shared" si="4"/>
        <v>0.064</v>
      </c>
      <c r="F45" s="7">
        <f t="shared" si="5"/>
        <v>0.096</v>
      </c>
      <c r="H45" s="67" t="s">
        <v>36</v>
      </c>
      <c r="I45" s="197">
        <f>'ДОУ 2022 цена по контр'!H45*25%</f>
        <v>0.75</v>
      </c>
      <c r="J45" s="197">
        <f>'ДОУ 2022 цена по контр'!I45*25%</f>
        <v>1.25</v>
      </c>
      <c r="K45" s="132">
        <v>22</v>
      </c>
      <c r="L45" s="198">
        <f t="shared" si="2"/>
        <v>0.0165</v>
      </c>
      <c r="M45" s="198">
        <f t="shared" si="3"/>
        <v>0.0275</v>
      </c>
    </row>
    <row r="46" spans="1:13" ht="18" customHeight="1">
      <c r="A46" s="16" t="s">
        <v>37</v>
      </c>
      <c r="B46" s="12"/>
      <c r="C46" s="12"/>
      <c r="D46" s="12"/>
      <c r="E46" s="17">
        <f>SUM(E16:E45)</f>
        <v>166.16600000000005</v>
      </c>
      <c r="F46" s="17">
        <f>SUM(F16:F45)</f>
        <v>203.63299999999998</v>
      </c>
      <c r="H46" s="135" t="s">
        <v>37</v>
      </c>
      <c r="I46" s="136"/>
      <c r="J46" s="136"/>
      <c r="K46" s="136"/>
      <c r="L46" s="137">
        <f>SUM(L16:L45)</f>
        <v>44.21916459999999</v>
      </c>
      <c r="M46" s="137">
        <f>SUM(M16:M45)</f>
        <v>54.96786925000001</v>
      </c>
    </row>
    <row r="47" spans="1:13" ht="20.25" customHeight="1">
      <c r="A47" s="38" t="s">
        <v>38</v>
      </c>
      <c r="B47" s="39"/>
      <c r="C47" s="40"/>
      <c r="D47" s="41">
        <f>ROUND((F46+E46)/2,2)</f>
        <v>184.9</v>
      </c>
      <c r="E47" s="39"/>
      <c r="F47" s="40"/>
      <c r="H47" s="324" t="s">
        <v>38</v>
      </c>
      <c r="I47" s="325"/>
      <c r="J47" s="326"/>
      <c r="K47" s="327">
        <f>ROUND((M46+L46)/2,2)</f>
        <v>49.59</v>
      </c>
      <c r="L47" s="325"/>
      <c r="M47" s="326"/>
    </row>
    <row r="48" spans="5:13" ht="12.75">
      <c r="E48" s="42"/>
      <c r="F48" s="42"/>
      <c r="L48" s="42"/>
      <c r="M48" s="42"/>
    </row>
    <row r="49" spans="3:12" ht="12.75">
      <c r="C49" s="30" t="s">
        <v>114</v>
      </c>
      <c r="D49" s="95">
        <v>157.6</v>
      </c>
      <c r="E49" s="42"/>
      <c r="J49" s="30"/>
      <c r="K49" s="124"/>
      <c r="L49" s="42"/>
    </row>
    <row r="50" spans="3:13" ht="12.75">
      <c r="C50" s="15" t="s">
        <v>111</v>
      </c>
      <c r="D50" s="99">
        <f>D47/D49%-100</f>
        <v>17.322335025380724</v>
      </c>
      <c r="F50" s="43"/>
      <c r="J50" s="15"/>
      <c r="K50" s="124"/>
      <c r="M50" s="43"/>
    </row>
    <row r="51" spans="3:11" ht="12.75">
      <c r="C51" s="15" t="s">
        <v>115</v>
      </c>
      <c r="D51" s="96">
        <f>D47-D49</f>
        <v>27.30000000000001</v>
      </c>
      <c r="J51" s="15"/>
      <c r="K51" s="124"/>
    </row>
    <row r="52" spans="10:11" ht="12.75">
      <c r="J52" s="15"/>
      <c r="K52" s="44"/>
    </row>
  </sheetData>
  <sheetProtection/>
  <mergeCells count="21">
    <mergeCell ref="K2:M2"/>
    <mergeCell ref="K3:M3"/>
    <mergeCell ref="K4:M4"/>
    <mergeCell ref="K5:M5"/>
    <mergeCell ref="K6:M6"/>
    <mergeCell ref="A8:F8"/>
    <mergeCell ref="H8:M8"/>
    <mergeCell ref="A9:F9"/>
    <mergeCell ref="H9:M9"/>
    <mergeCell ref="A10:F10"/>
    <mergeCell ref="H10:M10"/>
    <mergeCell ref="A12:F12"/>
    <mergeCell ref="H12:M12"/>
    <mergeCell ref="K14:K15"/>
    <mergeCell ref="L14:M14"/>
    <mergeCell ref="A14:A15"/>
    <mergeCell ref="B14:C14"/>
    <mergeCell ref="D14:D15"/>
    <mergeCell ref="E14:F14"/>
    <mergeCell ref="H14:H15"/>
    <mergeCell ref="I14:J14"/>
  </mergeCells>
  <printOptions/>
  <pageMargins left="0.7086614173228347" right="0.15748031496062992" top="0.5511811023622047" bottom="0.31496062992125984" header="0.31496062992125984" footer="0.31496062992125984"/>
  <pageSetup horizontalDpi="600" verticalDpi="600" orientation="portrait" paperSize="9" scale="83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I47"/>
  <sheetViews>
    <sheetView view="pageBreakPreview" zoomScaleSheetLayoutView="100" zoomScalePageLayoutView="0" workbookViewId="0" topLeftCell="A22">
      <selection activeCell="H35" sqref="H35"/>
    </sheetView>
  </sheetViews>
  <sheetFormatPr defaultColWidth="9.140625" defaultRowHeight="12.75"/>
  <cols>
    <col min="1" max="1" width="41.421875" style="9" customWidth="1"/>
    <col min="2" max="2" width="10.7109375" style="9" customWidth="1"/>
    <col min="3" max="3" width="10.00390625" style="9" customWidth="1"/>
    <col min="4" max="4" width="10.140625" style="9" customWidth="1"/>
    <col min="5" max="5" width="10.28125" style="9" customWidth="1"/>
    <col min="6" max="6" width="15.8515625" style="9" customWidth="1"/>
    <col min="7" max="7" width="4.8515625" style="9" customWidth="1"/>
    <col min="8" max="8" width="10.28125" style="9" bestFit="1" customWidth="1"/>
    <col min="9" max="16384" width="9.140625" style="9" customWidth="1"/>
  </cols>
  <sheetData>
    <row r="1" spans="1:6" ht="15.75">
      <c r="A1" s="11"/>
      <c r="B1" s="11"/>
      <c r="C1" s="129"/>
      <c r="D1" s="386" t="s">
        <v>155</v>
      </c>
      <c r="E1" s="386"/>
      <c r="F1" s="386"/>
    </row>
    <row r="2" spans="1:6" ht="12.75">
      <c r="A2" s="158" t="s">
        <v>145</v>
      </c>
      <c r="D2" s="372" t="s">
        <v>146</v>
      </c>
      <c r="E2" s="372"/>
      <c r="F2" s="372"/>
    </row>
    <row r="3" spans="1:6" ht="12.75">
      <c r="A3" s="9" t="s">
        <v>192</v>
      </c>
      <c r="D3" s="373" t="s">
        <v>147</v>
      </c>
      <c r="E3" s="373"/>
      <c r="F3" s="373"/>
    </row>
    <row r="4" spans="1:6" ht="12.75">
      <c r="A4" s="9" t="s">
        <v>193</v>
      </c>
      <c r="D4" s="373" t="s">
        <v>148</v>
      </c>
      <c r="E4" s="373"/>
      <c r="F4" s="373"/>
    </row>
    <row r="5" spans="1:6" ht="18.75" customHeight="1">
      <c r="A5" s="9" t="s">
        <v>191</v>
      </c>
      <c r="D5" s="373" t="s">
        <v>183</v>
      </c>
      <c r="E5" s="373"/>
      <c r="F5" s="373"/>
    </row>
    <row r="6" spans="1:6" ht="15.75">
      <c r="A6" s="11"/>
      <c r="B6" s="11"/>
      <c r="C6" s="129"/>
      <c r="D6" s="381"/>
      <c r="E6" s="381"/>
      <c r="F6" s="381"/>
    </row>
    <row r="7" spans="1:6" ht="14.25">
      <c r="A7" s="387" t="s">
        <v>13</v>
      </c>
      <c r="B7" s="387"/>
      <c r="C7" s="387"/>
      <c r="D7" s="387"/>
      <c r="E7" s="387"/>
      <c r="F7" s="387"/>
    </row>
    <row r="8" spans="1:6" ht="19.5" customHeight="1">
      <c r="A8" s="387" t="s">
        <v>135</v>
      </c>
      <c r="B8" s="387"/>
      <c r="C8" s="387"/>
      <c r="D8" s="387"/>
      <c r="E8" s="387"/>
      <c r="F8" s="387"/>
    </row>
    <row r="9" spans="1:6" ht="19.5" customHeight="1">
      <c r="A9" s="387" t="s">
        <v>197</v>
      </c>
      <c r="B9" s="387"/>
      <c r="C9" s="387"/>
      <c r="D9" s="387"/>
      <c r="E9" s="387"/>
      <c r="F9" s="387"/>
    </row>
    <row r="10" spans="1:6" ht="15.75" customHeight="1">
      <c r="A10" s="381" t="s">
        <v>124</v>
      </c>
      <c r="B10" s="381"/>
      <c r="C10" s="381"/>
      <c r="D10" s="381"/>
      <c r="E10" s="381"/>
      <c r="F10" s="381"/>
    </row>
    <row r="11" spans="1:6" ht="13.5" thickBot="1">
      <c r="A11" s="13"/>
      <c r="B11" s="13"/>
      <c r="C11" s="13"/>
      <c r="D11" s="130"/>
      <c r="E11" s="130"/>
      <c r="F11" s="130"/>
    </row>
    <row r="12" spans="1:6" ht="42.75" customHeight="1">
      <c r="A12" s="383" t="s">
        <v>15</v>
      </c>
      <c r="B12" s="383" t="s">
        <v>40</v>
      </c>
      <c r="C12" s="383"/>
      <c r="D12" s="384" t="s">
        <v>0</v>
      </c>
      <c r="E12" s="383" t="s">
        <v>17</v>
      </c>
      <c r="F12" s="383"/>
    </row>
    <row r="13" spans="1:6" ht="26.25" customHeight="1" thickBot="1">
      <c r="A13" s="383"/>
      <c r="B13" s="133" t="s">
        <v>1</v>
      </c>
      <c r="C13" s="133" t="s">
        <v>52</v>
      </c>
      <c r="D13" s="385"/>
      <c r="E13" s="133" t="s">
        <v>1</v>
      </c>
      <c r="F13" s="133" t="s">
        <v>52</v>
      </c>
    </row>
    <row r="14" spans="1:6" ht="15" customHeight="1">
      <c r="A14" s="234" t="s">
        <v>53</v>
      </c>
      <c r="B14" s="222">
        <v>80</v>
      </c>
      <c r="C14" s="222">
        <v>120</v>
      </c>
      <c r="D14" s="237">
        <v>45.09</v>
      </c>
      <c r="E14" s="198">
        <f>B14/1000*D14</f>
        <v>3.6072</v>
      </c>
      <c r="F14" s="198">
        <f>C14/1000*D14</f>
        <v>5.4108</v>
      </c>
    </row>
    <row r="15" spans="1:6" ht="15" customHeight="1">
      <c r="A15" s="234" t="s">
        <v>54</v>
      </c>
      <c r="B15" s="222">
        <v>150</v>
      </c>
      <c r="C15" s="222">
        <v>200</v>
      </c>
      <c r="D15" s="237">
        <v>46.42</v>
      </c>
      <c r="E15" s="198">
        <f aca="true" t="shared" si="0" ref="E15:E30">B15/1000*D15</f>
        <v>6.963</v>
      </c>
      <c r="F15" s="198">
        <f aca="true" t="shared" si="1" ref="F15:F30">C15/1000*D15</f>
        <v>9.284</v>
      </c>
    </row>
    <row r="16" spans="1:6" ht="15.75" customHeight="1">
      <c r="A16" s="234" t="s">
        <v>55</v>
      </c>
      <c r="B16" s="222">
        <v>15</v>
      </c>
      <c r="C16" s="222">
        <v>20</v>
      </c>
      <c r="D16" s="237">
        <v>38.66</v>
      </c>
      <c r="E16" s="198">
        <f t="shared" si="0"/>
        <v>0.5799</v>
      </c>
      <c r="F16" s="198">
        <f t="shared" si="1"/>
        <v>0.7732</v>
      </c>
    </row>
    <row r="17" spans="1:6" ht="15" customHeight="1">
      <c r="A17" s="234" t="s">
        <v>56</v>
      </c>
      <c r="B17" s="222">
        <v>45</v>
      </c>
      <c r="C17" s="222">
        <v>50</v>
      </c>
      <c r="D17" s="237">
        <v>80</v>
      </c>
      <c r="E17" s="198">
        <f t="shared" si="0"/>
        <v>3.5999999999999996</v>
      </c>
      <c r="F17" s="198">
        <f t="shared" si="1"/>
        <v>4</v>
      </c>
    </row>
    <row r="18" spans="1:6" ht="15" customHeight="1">
      <c r="A18" s="234" t="s">
        <v>57</v>
      </c>
      <c r="B18" s="222">
        <v>15</v>
      </c>
      <c r="C18" s="222">
        <v>20</v>
      </c>
      <c r="D18" s="237">
        <v>43.67</v>
      </c>
      <c r="E18" s="198">
        <f t="shared" si="0"/>
        <v>0.65505</v>
      </c>
      <c r="F18" s="198">
        <f t="shared" si="1"/>
        <v>0.8734000000000001</v>
      </c>
    </row>
    <row r="19" spans="1:6" ht="15" customHeight="1">
      <c r="A19" s="234" t="s">
        <v>58</v>
      </c>
      <c r="B19" s="229">
        <f>250-74</f>
        <v>176</v>
      </c>
      <c r="C19" s="229">
        <f>250-50</f>
        <v>200</v>
      </c>
      <c r="D19" s="237">
        <v>30.05</v>
      </c>
      <c r="E19" s="198">
        <f t="shared" si="0"/>
        <v>5.2888</v>
      </c>
      <c r="F19" s="198">
        <f t="shared" si="1"/>
        <v>6.010000000000001</v>
      </c>
    </row>
    <row r="20" spans="1:6" ht="15" customHeight="1">
      <c r="A20" s="234" t="s">
        <v>59</v>
      </c>
      <c r="B20" s="222">
        <v>350</v>
      </c>
      <c r="C20" s="222">
        <v>400</v>
      </c>
      <c r="D20" s="237">
        <v>160</v>
      </c>
      <c r="E20" s="198">
        <f t="shared" si="0"/>
        <v>56</v>
      </c>
      <c r="F20" s="198">
        <f t="shared" si="1"/>
        <v>64</v>
      </c>
    </row>
    <row r="21" spans="1:6" ht="15" customHeight="1">
      <c r="A21" s="234" t="s">
        <v>60</v>
      </c>
      <c r="B21" s="222">
        <v>200</v>
      </c>
      <c r="C21" s="222">
        <v>200</v>
      </c>
      <c r="D21" s="237">
        <v>140</v>
      </c>
      <c r="E21" s="198">
        <f t="shared" si="0"/>
        <v>28</v>
      </c>
      <c r="F21" s="198">
        <f t="shared" si="1"/>
        <v>28</v>
      </c>
    </row>
    <row r="22" spans="1:6" ht="15" customHeight="1">
      <c r="A22" s="235" t="s">
        <v>61</v>
      </c>
      <c r="B22" s="222">
        <v>15</v>
      </c>
      <c r="C22" s="222">
        <v>20</v>
      </c>
      <c r="D22" s="237">
        <v>190</v>
      </c>
      <c r="E22" s="198">
        <f t="shared" si="0"/>
        <v>2.85</v>
      </c>
      <c r="F22" s="198">
        <f t="shared" si="1"/>
        <v>3.8000000000000003</v>
      </c>
    </row>
    <row r="23" spans="1:6" ht="45">
      <c r="A23" s="235" t="s">
        <v>90</v>
      </c>
      <c r="B23" s="222">
        <v>200</v>
      </c>
      <c r="C23" s="222">
        <v>200</v>
      </c>
      <c r="D23" s="237">
        <v>75</v>
      </c>
      <c r="E23" s="198">
        <f t="shared" si="0"/>
        <v>15</v>
      </c>
      <c r="F23" s="198">
        <f t="shared" si="1"/>
        <v>15</v>
      </c>
    </row>
    <row r="24" spans="1:6" ht="15" customHeight="1">
      <c r="A24" s="234" t="s">
        <v>63</v>
      </c>
      <c r="B24" s="229">
        <v>77</v>
      </c>
      <c r="C24" s="229">
        <v>86</v>
      </c>
      <c r="D24" s="237">
        <v>350</v>
      </c>
      <c r="E24" s="198">
        <f t="shared" si="0"/>
        <v>26.95</v>
      </c>
      <c r="F24" s="198">
        <f t="shared" si="1"/>
        <v>30.099999999999998</v>
      </c>
    </row>
    <row r="25" spans="1:6" ht="30">
      <c r="A25" s="234" t="s">
        <v>64</v>
      </c>
      <c r="B25" s="229">
        <v>40</v>
      </c>
      <c r="C25" s="229">
        <v>60</v>
      </c>
      <c r="D25" s="237">
        <v>220</v>
      </c>
      <c r="E25" s="198">
        <f t="shared" si="0"/>
        <v>8.8</v>
      </c>
      <c r="F25" s="198">
        <f t="shared" si="1"/>
        <v>13.2</v>
      </c>
    </row>
    <row r="26" spans="1:6" ht="15" customHeight="1">
      <c r="A26" s="234" t="s">
        <v>65</v>
      </c>
      <c r="B26" s="222">
        <v>60</v>
      </c>
      <c r="C26" s="222">
        <v>80</v>
      </c>
      <c r="D26" s="229">
        <f>700-215</f>
        <v>485</v>
      </c>
      <c r="E26" s="198">
        <f t="shared" si="0"/>
        <v>29.099999999999998</v>
      </c>
      <c r="F26" s="198">
        <f t="shared" si="1"/>
        <v>38.800000000000004</v>
      </c>
    </row>
    <row r="27" spans="1:6" ht="15" customHeight="1">
      <c r="A27" s="234" t="s">
        <v>66</v>
      </c>
      <c r="B27" s="222">
        <v>15</v>
      </c>
      <c r="C27" s="222">
        <v>20</v>
      </c>
      <c r="D27" s="237">
        <v>400</v>
      </c>
      <c r="E27" s="198">
        <f t="shared" si="0"/>
        <v>6</v>
      </c>
      <c r="F27" s="198">
        <f t="shared" si="1"/>
        <v>8</v>
      </c>
    </row>
    <row r="28" spans="1:6" ht="15" customHeight="1">
      <c r="A28" s="234" t="s">
        <v>67</v>
      </c>
      <c r="B28" s="236">
        <v>300</v>
      </c>
      <c r="C28" s="222">
        <v>300</v>
      </c>
      <c r="D28" s="237">
        <v>71.94</v>
      </c>
      <c r="E28" s="198">
        <f t="shared" si="0"/>
        <v>21.581999999999997</v>
      </c>
      <c r="F28" s="198">
        <f t="shared" si="1"/>
        <v>21.581999999999997</v>
      </c>
    </row>
    <row r="29" spans="1:6" ht="30">
      <c r="A29" s="234" t="s">
        <v>118</v>
      </c>
      <c r="B29" s="222">
        <v>150</v>
      </c>
      <c r="C29" s="222">
        <v>180</v>
      </c>
      <c r="D29" s="237">
        <v>90</v>
      </c>
      <c r="E29" s="198">
        <f t="shared" si="0"/>
        <v>13.5</v>
      </c>
      <c r="F29" s="198">
        <f t="shared" si="1"/>
        <v>16.2</v>
      </c>
    </row>
    <row r="30" spans="1:6" ht="15" customHeight="1">
      <c r="A30" s="234" t="s">
        <v>69</v>
      </c>
      <c r="B30" s="222">
        <v>50</v>
      </c>
      <c r="C30" s="222">
        <v>60</v>
      </c>
      <c r="D30" s="229">
        <f>600-220</f>
        <v>380</v>
      </c>
      <c r="E30" s="198">
        <f t="shared" si="0"/>
        <v>19</v>
      </c>
      <c r="F30" s="198">
        <f t="shared" si="1"/>
        <v>22.8</v>
      </c>
    </row>
    <row r="31" spans="1:6" ht="15" customHeight="1">
      <c r="A31" s="234" t="s">
        <v>70</v>
      </c>
      <c r="B31" s="222">
        <v>10</v>
      </c>
      <c r="C31" s="222">
        <v>12</v>
      </c>
      <c r="D31" s="237">
        <v>650</v>
      </c>
      <c r="E31" s="198">
        <f>B31/1000*D31</f>
        <v>6.5</v>
      </c>
      <c r="F31" s="198">
        <f>C31/1000*D31</f>
        <v>7.8</v>
      </c>
    </row>
    <row r="32" spans="1:6" ht="15" customHeight="1">
      <c r="A32" s="234" t="s">
        <v>6</v>
      </c>
      <c r="B32" s="222">
        <v>10</v>
      </c>
      <c r="C32" s="222">
        <v>10</v>
      </c>
      <c r="D32" s="237">
        <v>270</v>
      </c>
      <c r="E32" s="198">
        <f>B32/1000*D32</f>
        <v>2.7</v>
      </c>
      <c r="F32" s="198">
        <f>C32/1000*D32</f>
        <v>2.7</v>
      </c>
    </row>
    <row r="33" spans="1:6" ht="15" customHeight="1">
      <c r="A33" s="234" t="s">
        <v>71</v>
      </c>
      <c r="B33" s="222">
        <v>30</v>
      </c>
      <c r="C33" s="222">
        <v>35</v>
      </c>
      <c r="D33" s="229">
        <f>675-77</f>
        <v>598</v>
      </c>
      <c r="E33" s="198">
        <f>B33/1000*D33</f>
        <v>17.939999999999998</v>
      </c>
      <c r="F33" s="198">
        <f>C33/1000*D33</f>
        <v>20.930000000000003</v>
      </c>
    </row>
    <row r="34" spans="1:6" ht="15" customHeight="1">
      <c r="A34" s="234" t="s">
        <v>72</v>
      </c>
      <c r="B34" s="222">
        <v>15</v>
      </c>
      <c r="C34" s="222">
        <v>18</v>
      </c>
      <c r="D34" s="237">
        <v>110</v>
      </c>
      <c r="E34" s="198">
        <f>B34/1000*D34</f>
        <v>1.65</v>
      </c>
      <c r="F34" s="198">
        <f>C34/1000*D34</f>
        <v>1.9799999999999998</v>
      </c>
    </row>
    <row r="35" spans="1:6" ht="15" customHeight="1">
      <c r="A35" s="234" t="s">
        <v>73</v>
      </c>
      <c r="B35" s="222" t="s">
        <v>7</v>
      </c>
      <c r="C35" s="222" t="s">
        <v>7</v>
      </c>
      <c r="D35" s="238">
        <v>6.55</v>
      </c>
      <c r="E35" s="198">
        <v>6.55</v>
      </c>
      <c r="F35" s="198">
        <v>6.55</v>
      </c>
    </row>
    <row r="36" spans="1:6" ht="15" customHeight="1">
      <c r="A36" s="234" t="s">
        <v>35</v>
      </c>
      <c r="B36" s="222">
        <v>40</v>
      </c>
      <c r="C36" s="222">
        <v>45</v>
      </c>
      <c r="D36" s="237">
        <v>53.38</v>
      </c>
      <c r="E36" s="198">
        <f aca="true" t="shared" si="2" ref="E36:E41">B36/1000*D36</f>
        <v>2.1352</v>
      </c>
      <c r="F36" s="198">
        <f aca="true" t="shared" si="3" ref="F36:F41">C36/1000*D36</f>
        <v>2.4021</v>
      </c>
    </row>
    <row r="37" spans="1:6" ht="15" customHeight="1">
      <c r="A37" s="234" t="s">
        <v>75</v>
      </c>
      <c r="B37" s="222">
        <v>10</v>
      </c>
      <c r="C37" s="222">
        <v>15</v>
      </c>
      <c r="D37" s="237">
        <v>290</v>
      </c>
      <c r="E37" s="198">
        <f t="shared" si="2"/>
        <v>2.9</v>
      </c>
      <c r="F37" s="198">
        <f t="shared" si="3"/>
        <v>4.35</v>
      </c>
    </row>
    <row r="38" spans="1:6" ht="15" customHeight="1">
      <c r="A38" s="234" t="s">
        <v>76</v>
      </c>
      <c r="B38" s="222">
        <v>0.4</v>
      </c>
      <c r="C38" s="222">
        <v>0.4</v>
      </c>
      <c r="D38" s="237">
        <v>660</v>
      </c>
      <c r="E38" s="198">
        <f t="shared" si="2"/>
        <v>0.264</v>
      </c>
      <c r="F38" s="198">
        <f t="shared" si="3"/>
        <v>0.264</v>
      </c>
    </row>
    <row r="39" spans="1:6" ht="15" customHeight="1">
      <c r="A39" s="234" t="s">
        <v>8</v>
      </c>
      <c r="B39" s="222">
        <v>1.2</v>
      </c>
      <c r="C39" s="222">
        <v>1.2</v>
      </c>
      <c r="D39" s="237">
        <v>850</v>
      </c>
      <c r="E39" s="198">
        <f t="shared" si="2"/>
        <v>1.02</v>
      </c>
      <c r="F39" s="198">
        <f t="shared" si="3"/>
        <v>1.02</v>
      </c>
    </row>
    <row r="40" spans="1:6" ht="15" customHeight="1">
      <c r="A40" s="234" t="s">
        <v>78</v>
      </c>
      <c r="B40" s="222">
        <v>1</v>
      </c>
      <c r="C40" s="222">
        <v>2</v>
      </c>
      <c r="D40" s="237">
        <v>1600</v>
      </c>
      <c r="E40" s="198">
        <f t="shared" si="2"/>
        <v>1.6</v>
      </c>
      <c r="F40" s="198">
        <f t="shared" si="3"/>
        <v>3.2</v>
      </c>
    </row>
    <row r="41" spans="1:6" ht="15" customHeight="1">
      <c r="A41" s="234" t="s">
        <v>79</v>
      </c>
      <c r="B41" s="222">
        <v>5</v>
      </c>
      <c r="C41" s="222">
        <v>7</v>
      </c>
      <c r="D41" s="237">
        <v>19.76</v>
      </c>
      <c r="E41" s="7">
        <f t="shared" si="2"/>
        <v>0.09880000000000001</v>
      </c>
      <c r="F41" s="7">
        <f t="shared" si="3"/>
        <v>0.13832000000000003</v>
      </c>
    </row>
    <row r="42" spans="1:9" ht="19.5" customHeight="1">
      <c r="A42" s="16" t="s">
        <v>37</v>
      </c>
      <c r="B42" s="12"/>
      <c r="C42" s="12"/>
      <c r="D42" s="12"/>
      <c r="E42" s="17">
        <f>SUM(E14:E41)</f>
        <v>290.83394999999996</v>
      </c>
      <c r="F42" s="17">
        <f>SUM(F14:F41)</f>
        <v>339.16782000000006</v>
      </c>
      <c r="H42" s="86"/>
      <c r="I42" s="86"/>
    </row>
    <row r="43" spans="1:8" ht="20.25" customHeight="1">
      <c r="A43" s="38" t="s">
        <v>38</v>
      </c>
      <c r="B43" s="39"/>
      <c r="C43" s="40"/>
      <c r="D43" s="230">
        <f>ROUND((F42+E42)/2,2)</f>
        <v>315</v>
      </c>
      <c r="E43" s="39"/>
      <c r="F43" s="40"/>
      <c r="H43" s="86">
        <f>(E42+F42)/2</f>
        <v>315.00088500000004</v>
      </c>
    </row>
    <row r="44" spans="5:6" ht="12.75">
      <c r="E44" s="42"/>
      <c r="F44" s="42"/>
    </row>
    <row r="45" spans="3:5" ht="12.75">
      <c r="C45" s="63">
        <v>2016</v>
      </c>
      <c r="D45" s="44">
        <v>279.83</v>
      </c>
      <c r="E45" s="42"/>
    </row>
    <row r="46" spans="3:6" ht="12.75">
      <c r="C46" s="63" t="s">
        <v>111</v>
      </c>
      <c r="D46" s="98">
        <f>D43/D45%-100</f>
        <v>12.568345066647609</v>
      </c>
      <c r="F46" s="87"/>
    </row>
    <row r="47" spans="3:4" ht="12.75">
      <c r="C47" s="63" t="s">
        <v>112</v>
      </c>
      <c r="D47" s="97">
        <f>D43-D45</f>
        <v>35.170000000000016</v>
      </c>
    </row>
  </sheetData>
  <sheetProtection/>
  <mergeCells count="14">
    <mergeCell ref="D1:F1"/>
    <mergeCell ref="A12:A13"/>
    <mergeCell ref="B12:C12"/>
    <mergeCell ref="D12:D13"/>
    <mergeCell ref="E12:F12"/>
    <mergeCell ref="A7:F7"/>
    <mergeCell ref="A8:F8"/>
    <mergeCell ref="A9:F9"/>
    <mergeCell ref="A10:F10"/>
    <mergeCell ref="D2:F2"/>
    <mergeCell ref="D3:F3"/>
    <mergeCell ref="D4:F4"/>
    <mergeCell ref="D5:F5"/>
    <mergeCell ref="D6:F6"/>
  </mergeCells>
  <printOptions/>
  <pageMargins left="1.1023622047244095" right="0.33" top="0.4724409448818898" bottom="0.31496062992125984" header="0.31496062992125984" footer="0.31496062992125984"/>
  <pageSetup horizontalDpi="600" verticalDpi="600" orientation="portrait" paperSize="9" scale="9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I50"/>
  <sheetViews>
    <sheetView view="pageBreakPreview" zoomScaleSheetLayoutView="100" zoomScalePageLayoutView="0" workbookViewId="0" topLeftCell="A29">
      <selection activeCell="I15" sqref="I15"/>
    </sheetView>
  </sheetViews>
  <sheetFormatPr defaultColWidth="9.140625" defaultRowHeight="12.75"/>
  <cols>
    <col min="1" max="1" width="41.421875" style="9" customWidth="1"/>
    <col min="2" max="2" width="10.7109375" style="9" customWidth="1"/>
    <col min="3" max="3" width="10.00390625" style="9" customWidth="1"/>
    <col min="4" max="4" width="10.140625" style="9" customWidth="1"/>
    <col min="5" max="5" width="10.28125" style="9" customWidth="1"/>
    <col min="6" max="6" width="15.8515625" style="9" customWidth="1"/>
    <col min="7" max="7" width="4.8515625" style="9" customWidth="1"/>
    <col min="8" max="8" width="10.28125" style="9" bestFit="1" customWidth="1"/>
    <col min="9" max="16384" width="9.140625" style="9" customWidth="1"/>
  </cols>
  <sheetData>
    <row r="1" spans="1:6" ht="15.75">
      <c r="A1" s="11"/>
      <c r="B1" s="11"/>
      <c r="C1" s="129"/>
      <c r="D1" s="386" t="s">
        <v>155</v>
      </c>
      <c r="E1" s="386"/>
      <c r="F1" s="386"/>
    </row>
    <row r="2" spans="1:6" ht="12.75">
      <c r="A2" s="158"/>
      <c r="D2" s="372" t="s">
        <v>146</v>
      </c>
      <c r="E2" s="372"/>
      <c r="F2" s="372"/>
    </row>
    <row r="3" spans="4:6" ht="12.75">
      <c r="D3" s="373" t="s">
        <v>147</v>
      </c>
      <c r="E3" s="373"/>
      <c r="F3" s="373"/>
    </row>
    <row r="4" spans="4:6" ht="12.75">
      <c r="D4" s="373" t="s">
        <v>148</v>
      </c>
      <c r="E4" s="373"/>
      <c r="F4" s="373"/>
    </row>
    <row r="5" spans="4:6" ht="18.75" customHeight="1">
      <c r="D5" s="373" t="s">
        <v>183</v>
      </c>
      <c r="E5" s="373"/>
      <c r="F5" s="373"/>
    </row>
    <row r="6" spans="1:6" ht="15.75">
      <c r="A6" s="11"/>
      <c r="B6" s="11"/>
      <c r="C6" s="129"/>
      <c r="D6" s="381"/>
      <c r="E6" s="381"/>
      <c r="F6" s="381"/>
    </row>
    <row r="7" spans="1:6" ht="14.25">
      <c r="A7" s="387" t="s">
        <v>13</v>
      </c>
      <c r="B7" s="387"/>
      <c r="C7" s="387"/>
      <c r="D7" s="387"/>
      <c r="E7" s="387"/>
      <c r="F7" s="387"/>
    </row>
    <row r="8" spans="1:6" ht="19.5" customHeight="1">
      <c r="A8" s="387" t="s">
        <v>135</v>
      </c>
      <c r="B8" s="387"/>
      <c r="C8" s="387"/>
      <c r="D8" s="387"/>
      <c r="E8" s="387"/>
      <c r="F8" s="387"/>
    </row>
    <row r="9" spans="1:6" ht="19.5" customHeight="1">
      <c r="A9" s="387" t="s">
        <v>198</v>
      </c>
      <c r="B9" s="387"/>
      <c r="C9" s="387"/>
      <c r="D9" s="387"/>
      <c r="E9" s="387"/>
      <c r="F9" s="387"/>
    </row>
    <row r="10" spans="1:6" ht="15.75" customHeight="1">
      <c r="A10" s="381" t="s">
        <v>245</v>
      </c>
      <c r="B10" s="381"/>
      <c r="C10" s="381"/>
      <c r="D10" s="381"/>
      <c r="E10" s="381"/>
      <c r="F10" s="381"/>
    </row>
    <row r="11" spans="1:6" ht="13.5" thickBot="1">
      <c r="A11" s="13"/>
      <c r="B11" s="13"/>
      <c r="C11" s="13"/>
      <c r="D11" s="130"/>
      <c r="E11" s="130"/>
      <c r="F11" s="130"/>
    </row>
    <row r="12" spans="1:6" ht="42.75" customHeight="1">
      <c r="A12" s="383" t="s">
        <v>15</v>
      </c>
      <c r="B12" s="383" t="s">
        <v>40</v>
      </c>
      <c r="C12" s="383"/>
      <c r="D12" s="384" t="s">
        <v>196</v>
      </c>
      <c r="E12" s="383" t="s">
        <v>17</v>
      </c>
      <c r="F12" s="383"/>
    </row>
    <row r="13" spans="1:6" ht="26.25" customHeight="1" thickBot="1">
      <c r="A13" s="383"/>
      <c r="B13" s="133" t="s">
        <v>229</v>
      </c>
      <c r="C13" s="133" t="s">
        <v>230</v>
      </c>
      <c r="D13" s="385"/>
      <c r="E13" s="133" t="s">
        <v>229</v>
      </c>
      <c r="F13" s="133" t="s">
        <v>230</v>
      </c>
    </row>
    <row r="14" spans="1:6" ht="15" customHeight="1">
      <c r="A14" s="288" t="s">
        <v>53</v>
      </c>
      <c r="B14" s="132">
        <v>80</v>
      </c>
      <c r="C14" s="132">
        <v>120</v>
      </c>
      <c r="D14" s="285">
        <v>45</v>
      </c>
      <c r="E14" s="198">
        <f>B14/1000*D14</f>
        <v>3.6</v>
      </c>
      <c r="F14" s="198">
        <f>C14/1000*D14</f>
        <v>5.3999999999999995</v>
      </c>
    </row>
    <row r="15" spans="1:6" ht="15" customHeight="1">
      <c r="A15" s="288" t="s">
        <v>54</v>
      </c>
      <c r="B15" s="132">
        <v>150</v>
      </c>
      <c r="C15" s="132">
        <v>200</v>
      </c>
      <c r="D15" s="285">
        <v>46</v>
      </c>
      <c r="E15" s="198">
        <f aca="true" t="shared" si="0" ref="E15:E30">B15/1000*D15</f>
        <v>6.8999999999999995</v>
      </c>
      <c r="F15" s="198">
        <f aca="true" t="shared" si="1" ref="F15:F30">C15/1000*D15</f>
        <v>9.200000000000001</v>
      </c>
    </row>
    <row r="16" spans="1:6" ht="15.75" customHeight="1">
      <c r="A16" s="288" t="s">
        <v>55</v>
      </c>
      <c r="B16" s="132">
        <v>15</v>
      </c>
      <c r="C16" s="132">
        <v>20</v>
      </c>
      <c r="D16" s="285">
        <v>38.9</v>
      </c>
      <c r="E16" s="198">
        <f t="shared" si="0"/>
        <v>0.5834999999999999</v>
      </c>
      <c r="F16" s="198">
        <f t="shared" si="1"/>
        <v>0.778</v>
      </c>
    </row>
    <row r="17" spans="1:6" ht="15" customHeight="1">
      <c r="A17" s="288" t="s">
        <v>56</v>
      </c>
      <c r="B17" s="132">
        <v>45</v>
      </c>
      <c r="C17" s="132">
        <v>50</v>
      </c>
      <c r="D17" s="285">
        <v>73.5</v>
      </c>
      <c r="E17" s="198">
        <f t="shared" si="0"/>
        <v>3.3074999999999997</v>
      </c>
      <c r="F17" s="198">
        <f t="shared" si="1"/>
        <v>3.6750000000000003</v>
      </c>
    </row>
    <row r="18" spans="1:6" ht="15" customHeight="1">
      <c r="A18" s="288" t="s">
        <v>57</v>
      </c>
      <c r="B18" s="132">
        <v>15</v>
      </c>
      <c r="C18" s="132">
        <v>20</v>
      </c>
      <c r="D18" s="285">
        <v>48</v>
      </c>
      <c r="E18" s="198">
        <f t="shared" si="0"/>
        <v>0.72</v>
      </c>
      <c r="F18" s="198">
        <f t="shared" si="1"/>
        <v>0.96</v>
      </c>
    </row>
    <row r="19" spans="1:6" ht="15" customHeight="1">
      <c r="A19" s="288" t="s">
        <v>58</v>
      </c>
      <c r="B19" s="132">
        <v>178.3</v>
      </c>
      <c r="C19" s="132">
        <v>196.3</v>
      </c>
      <c r="D19" s="285">
        <v>45</v>
      </c>
      <c r="E19" s="198">
        <f t="shared" si="0"/>
        <v>8.0235</v>
      </c>
      <c r="F19" s="198">
        <f t="shared" si="1"/>
        <v>8.8335</v>
      </c>
    </row>
    <row r="20" spans="1:6" ht="66" customHeight="1">
      <c r="A20" s="66" t="s">
        <v>217</v>
      </c>
      <c r="B20" s="132">
        <v>280</v>
      </c>
      <c r="C20" s="132">
        <v>320</v>
      </c>
      <c r="D20" s="285">
        <v>142.58</v>
      </c>
      <c r="E20" s="198">
        <f t="shared" si="0"/>
        <v>39.92240000000001</v>
      </c>
      <c r="F20" s="198">
        <f t="shared" si="1"/>
        <v>45.625600000000006</v>
      </c>
    </row>
    <row r="21" spans="1:6" ht="15" customHeight="1">
      <c r="A21" s="288" t="s">
        <v>231</v>
      </c>
      <c r="B21" s="132">
        <v>185</v>
      </c>
      <c r="C21" s="132">
        <v>185</v>
      </c>
      <c r="D21" s="285">
        <v>145</v>
      </c>
      <c r="E21" s="198">
        <f t="shared" si="0"/>
        <v>26.825</v>
      </c>
      <c r="F21" s="198">
        <f t="shared" si="1"/>
        <v>26.825</v>
      </c>
    </row>
    <row r="22" spans="1:6" ht="15" customHeight="1">
      <c r="A22" s="289" t="s">
        <v>219</v>
      </c>
      <c r="B22" s="132">
        <v>15</v>
      </c>
      <c r="C22" s="132">
        <v>20</v>
      </c>
      <c r="D22" s="285">
        <v>190</v>
      </c>
      <c r="E22" s="198">
        <f t="shared" si="0"/>
        <v>2.85</v>
      </c>
      <c r="F22" s="198">
        <f t="shared" si="1"/>
        <v>3.8000000000000003</v>
      </c>
    </row>
    <row r="23" spans="1:6" ht="25.5">
      <c r="A23" s="289" t="s">
        <v>90</v>
      </c>
      <c r="B23" s="132">
        <v>200</v>
      </c>
      <c r="C23" s="132">
        <v>200</v>
      </c>
      <c r="D23" s="285">
        <v>120</v>
      </c>
      <c r="E23" s="198">
        <f t="shared" si="0"/>
        <v>24</v>
      </c>
      <c r="F23" s="198">
        <f t="shared" si="1"/>
        <v>24</v>
      </c>
    </row>
    <row r="24" spans="1:6" ht="15" customHeight="1">
      <c r="A24" s="288" t="s">
        <v>232</v>
      </c>
      <c r="B24" s="132">
        <v>70</v>
      </c>
      <c r="C24" s="132">
        <v>78</v>
      </c>
      <c r="D24" s="285">
        <v>310</v>
      </c>
      <c r="E24" s="198">
        <f t="shared" si="0"/>
        <v>21.700000000000003</v>
      </c>
      <c r="F24" s="198">
        <f t="shared" si="1"/>
        <v>24.18</v>
      </c>
    </row>
    <row r="25" spans="1:6" ht="12.75">
      <c r="A25" s="288" t="s">
        <v>228</v>
      </c>
      <c r="B25" s="132">
        <v>30</v>
      </c>
      <c r="C25" s="132">
        <v>40</v>
      </c>
      <c r="D25" s="285">
        <v>328</v>
      </c>
      <c r="E25" s="198">
        <f t="shared" si="0"/>
        <v>9.84</v>
      </c>
      <c r="F25" s="198">
        <f t="shared" si="1"/>
        <v>13.120000000000001</v>
      </c>
    </row>
    <row r="26" spans="1:6" ht="17.25" customHeight="1">
      <c r="A26" s="288" t="s">
        <v>233</v>
      </c>
      <c r="B26" s="132">
        <v>35</v>
      </c>
      <c r="C26" s="132">
        <v>53</v>
      </c>
      <c r="D26" s="132">
        <v>260</v>
      </c>
      <c r="E26" s="198">
        <f t="shared" si="0"/>
        <v>9.100000000000001</v>
      </c>
      <c r="F26" s="198">
        <f t="shared" si="1"/>
        <v>13.78</v>
      </c>
    </row>
    <row r="27" spans="1:6" ht="15" customHeight="1">
      <c r="A27" s="288" t="s">
        <v>215</v>
      </c>
      <c r="B27" s="132">
        <v>58</v>
      </c>
      <c r="C27" s="132">
        <v>77</v>
      </c>
      <c r="D27" s="132">
        <v>340</v>
      </c>
      <c r="E27" s="198">
        <f t="shared" si="0"/>
        <v>19.720000000000002</v>
      </c>
      <c r="F27" s="198">
        <f t="shared" si="1"/>
        <v>26.18</v>
      </c>
    </row>
    <row r="28" spans="1:6" ht="15" customHeight="1">
      <c r="A28" s="288" t="s">
        <v>234</v>
      </c>
      <c r="B28" s="287">
        <v>300</v>
      </c>
      <c r="C28" s="132">
        <v>350</v>
      </c>
      <c r="D28" s="285">
        <v>100</v>
      </c>
      <c r="E28" s="198">
        <f t="shared" si="0"/>
        <v>30</v>
      </c>
      <c r="F28" s="198">
        <f t="shared" si="1"/>
        <v>35</v>
      </c>
    </row>
    <row r="29" spans="1:6" ht="12.75">
      <c r="A29" s="288" t="s">
        <v>235</v>
      </c>
      <c r="B29" s="132">
        <v>150</v>
      </c>
      <c r="C29" s="132">
        <v>180</v>
      </c>
      <c r="D29" s="285">
        <v>142.1</v>
      </c>
      <c r="E29" s="198">
        <f t="shared" si="0"/>
        <v>21.314999999999998</v>
      </c>
      <c r="F29" s="198">
        <f t="shared" si="1"/>
        <v>25.578</v>
      </c>
    </row>
    <row r="30" spans="1:6" ht="15" customHeight="1">
      <c r="A30" s="288" t="s">
        <v>236</v>
      </c>
      <c r="B30" s="132">
        <v>50</v>
      </c>
      <c r="C30" s="132">
        <v>60</v>
      </c>
      <c r="D30" s="132">
        <v>452.5</v>
      </c>
      <c r="E30" s="198">
        <f t="shared" si="0"/>
        <v>22.625</v>
      </c>
      <c r="F30" s="198">
        <f t="shared" si="1"/>
        <v>27.15</v>
      </c>
    </row>
    <row r="31" spans="1:6" ht="15" customHeight="1">
      <c r="A31" s="288" t="s">
        <v>70</v>
      </c>
      <c r="B31" s="132">
        <v>10</v>
      </c>
      <c r="C31" s="132">
        <v>12</v>
      </c>
      <c r="D31" s="285">
        <v>530</v>
      </c>
      <c r="E31" s="198">
        <f>B31/1000*D31</f>
        <v>5.3</v>
      </c>
      <c r="F31" s="198">
        <f>C31/1000*D31</f>
        <v>6.36</v>
      </c>
    </row>
    <row r="32" spans="1:6" ht="15" customHeight="1">
      <c r="A32" s="288" t="s">
        <v>237</v>
      </c>
      <c r="B32" s="132">
        <v>10</v>
      </c>
      <c r="C32" s="132">
        <v>10</v>
      </c>
      <c r="D32" s="285">
        <v>250</v>
      </c>
      <c r="E32" s="198">
        <f>B32/1000*D32</f>
        <v>2.5</v>
      </c>
      <c r="F32" s="198">
        <f>C32/1000*D32</f>
        <v>2.5</v>
      </c>
    </row>
    <row r="33" spans="1:6" ht="15" customHeight="1">
      <c r="A33" s="288" t="s">
        <v>71</v>
      </c>
      <c r="B33" s="132">
        <v>30</v>
      </c>
      <c r="C33" s="132">
        <v>35</v>
      </c>
      <c r="D33" s="132">
        <v>620</v>
      </c>
      <c r="E33" s="198">
        <f>B33/1000*D33</f>
        <v>18.599999999999998</v>
      </c>
      <c r="F33" s="198">
        <f>C33/1000*D33</f>
        <v>21.700000000000003</v>
      </c>
    </row>
    <row r="34" spans="1:6" ht="15" customHeight="1">
      <c r="A34" s="288" t="s">
        <v>72</v>
      </c>
      <c r="B34" s="132">
        <v>15</v>
      </c>
      <c r="C34" s="132">
        <v>18</v>
      </c>
      <c r="D34" s="285">
        <v>159.86</v>
      </c>
      <c r="E34" s="198">
        <f>B34/1000*D34</f>
        <v>2.3979</v>
      </c>
      <c r="F34" s="198">
        <f>C34/1000*D34</f>
        <v>2.87748</v>
      </c>
    </row>
    <row r="35" spans="1:6" ht="15" customHeight="1">
      <c r="A35" s="288" t="s">
        <v>238</v>
      </c>
      <c r="B35" s="132">
        <v>1</v>
      </c>
      <c r="C35" s="132">
        <v>1</v>
      </c>
      <c r="D35" s="286">
        <v>9.2</v>
      </c>
      <c r="E35" s="198">
        <f>B35*D35</f>
        <v>9.2</v>
      </c>
      <c r="F35" s="198">
        <f>C35*E35</f>
        <v>9.2</v>
      </c>
    </row>
    <row r="36" spans="1:6" ht="78" customHeight="1">
      <c r="A36" s="65" t="s">
        <v>226</v>
      </c>
      <c r="B36" s="132">
        <v>30</v>
      </c>
      <c r="C36" s="132">
        <v>35</v>
      </c>
      <c r="D36" s="285">
        <v>78</v>
      </c>
      <c r="E36" s="198">
        <f aca="true" t="shared" si="2" ref="E36:E44">B36/1000*D36</f>
        <v>2.34</v>
      </c>
      <c r="F36" s="198">
        <f aca="true" t="shared" si="3" ref="F36:F44">C36/1000*D36</f>
        <v>2.7300000000000004</v>
      </c>
    </row>
    <row r="37" spans="1:6" ht="15" customHeight="1">
      <c r="A37" s="288" t="s">
        <v>75</v>
      </c>
      <c r="B37" s="132">
        <v>10</v>
      </c>
      <c r="C37" s="132">
        <v>15</v>
      </c>
      <c r="D37" s="285">
        <v>192</v>
      </c>
      <c r="E37" s="198">
        <f t="shared" si="2"/>
        <v>1.92</v>
      </c>
      <c r="F37" s="198">
        <f t="shared" si="3"/>
        <v>2.88</v>
      </c>
    </row>
    <row r="38" spans="1:6" ht="15" customHeight="1">
      <c r="A38" s="288" t="s">
        <v>76</v>
      </c>
      <c r="B38" s="132">
        <v>1</v>
      </c>
      <c r="C38" s="132">
        <v>2</v>
      </c>
      <c r="D38" s="285">
        <v>523</v>
      </c>
      <c r="E38" s="198">
        <f t="shared" si="2"/>
        <v>0.523</v>
      </c>
      <c r="F38" s="198">
        <f t="shared" si="3"/>
        <v>1.046</v>
      </c>
    </row>
    <row r="39" spans="1:6" ht="15" customHeight="1">
      <c r="A39" s="288" t="s">
        <v>8</v>
      </c>
      <c r="B39" s="132">
        <v>1</v>
      </c>
      <c r="C39" s="132">
        <v>1.2</v>
      </c>
      <c r="D39" s="285">
        <v>900</v>
      </c>
      <c r="E39" s="198">
        <f t="shared" si="2"/>
        <v>0.9</v>
      </c>
      <c r="F39" s="198">
        <f t="shared" si="3"/>
        <v>1.0799999999999998</v>
      </c>
    </row>
    <row r="40" spans="1:6" ht="15" customHeight="1">
      <c r="A40" s="288" t="s">
        <v>89</v>
      </c>
      <c r="B40" s="132">
        <v>2</v>
      </c>
      <c r="C40" s="132">
        <v>2</v>
      </c>
      <c r="D40" s="285">
        <v>533</v>
      </c>
      <c r="E40" s="198">
        <f>B40/1000*D40</f>
        <v>1.066</v>
      </c>
      <c r="F40" s="198">
        <f>C40/1000*D40</f>
        <v>1.066</v>
      </c>
    </row>
    <row r="41" spans="1:6" ht="15" customHeight="1">
      <c r="A41" s="288" t="s">
        <v>78</v>
      </c>
      <c r="B41" s="132">
        <v>0.2</v>
      </c>
      <c r="C41" s="132">
        <v>0.3</v>
      </c>
      <c r="D41" s="285">
        <v>1600</v>
      </c>
      <c r="E41" s="198">
        <f t="shared" si="2"/>
        <v>0.32</v>
      </c>
      <c r="F41" s="198">
        <f t="shared" si="3"/>
        <v>0.48</v>
      </c>
    </row>
    <row r="42" spans="1:6" ht="15" customHeight="1">
      <c r="A42" s="288" t="s">
        <v>227</v>
      </c>
      <c r="B42" s="132">
        <v>3</v>
      </c>
      <c r="C42" s="132">
        <v>4</v>
      </c>
      <c r="D42" s="285">
        <v>270</v>
      </c>
      <c r="E42" s="198">
        <f>B42/1000*D42</f>
        <v>0.81</v>
      </c>
      <c r="F42" s="198">
        <f>C42/1000*D42</f>
        <v>1.08</v>
      </c>
    </row>
    <row r="43" spans="1:6" ht="15" customHeight="1">
      <c r="A43" s="288" t="s">
        <v>239</v>
      </c>
      <c r="B43" s="132">
        <v>2</v>
      </c>
      <c r="C43" s="132">
        <v>2</v>
      </c>
      <c r="D43" s="285">
        <v>2600</v>
      </c>
      <c r="E43" s="198">
        <f>B43/1000*D43</f>
        <v>5.2</v>
      </c>
      <c r="F43" s="198">
        <f>C43/1000*D43</f>
        <v>5.2</v>
      </c>
    </row>
    <row r="44" spans="1:6" ht="15" customHeight="1">
      <c r="A44" s="288" t="s">
        <v>240</v>
      </c>
      <c r="B44" s="132">
        <v>3</v>
      </c>
      <c r="C44" s="132">
        <v>5</v>
      </c>
      <c r="D44" s="285">
        <v>22</v>
      </c>
      <c r="E44" s="198">
        <f t="shared" si="2"/>
        <v>0.066</v>
      </c>
      <c r="F44" s="198">
        <f t="shared" si="3"/>
        <v>0.11</v>
      </c>
    </row>
    <row r="45" spans="1:9" ht="19.5" customHeight="1">
      <c r="A45" s="135" t="s">
        <v>37</v>
      </c>
      <c r="B45" s="136"/>
      <c r="C45" s="136"/>
      <c r="D45" s="136"/>
      <c r="E45" s="137">
        <f>SUM(E14:E44)</f>
        <v>302.17479999999995</v>
      </c>
      <c r="F45" s="137">
        <f>SUM(F14:F44)</f>
        <v>352.39457999999996</v>
      </c>
      <c r="H45" s="86"/>
      <c r="I45" s="86"/>
    </row>
    <row r="46" spans="1:8" ht="20.25" customHeight="1">
      <c r="A46" s="324" t="s">
        <v>38</v>
      </c>
      <c r="B46" s="325"/>
      <c r="C46" s="326"/>
      <c r="D46" s="327">
        <f>ROUND((F45+E45)/2,2)</f>
        <v>327.28</v>
      </c>
      <c r="E46" s="325"/>
      <c r="F46" s="326"/>
      <c r="H46" s="86"/>
    </row>
    <row r="47" spans="4:6" ht="12.75">
      <c r="D47" s="9">
        <v>327.28</v>
      </c>
      <c r="E47" s="42">
        <v>302.17</v>
      </c>
      <c r="F47" s="42">
        <v>352.39</v>
      </c>
    </row>
    <row r="48" spans="3:5" ht="12.75">
      <c r="C48" s="63"/>
      <c r="D48" s="44"/>
      <c r="E48" s="42"/>
    </row>
    <row r="49" spans="3:6" ht="12.75">
      <c r="C49" s="63"/>
      <c r="D49" s="98"/>
      <c r="F49" s="87"/>
    </row>
    <row r="50" spans="3:4" ht="12.75">
      <c r="C50" s="63"/>
      <c r="D50" s="97"/>
    </row>
  </sheetData>
  <sheetProtection/>
  <mergeCells count="14">
    <mergeCell ref="D1:F1"/>
    <mergeCell ref="D2:F2"/>
    <mergeCell ref="D3:F3"/>
    <mergeCell ref="D4:F4"/>
    <mergeCell ref="D5:F5"/>
    <mergeCell ref="D6:F6"/>
    <mergeCell ref="A7:F7"/>
    <mergeCell ref="A8:F8"/>
    <mergeCell ref="A9:F9"/>
    <mergeCell ref="A10:F10"/>
    <mergeCell ref="A12:A13"/>
    <mergeCell ref="B12:C12"/>
    <mergeCell ref="D12:D13"/>
    <mergeCell ref="E12:F12"/>
  </mergeCells>
  <printOptions/>
  <pageMargins left="1.1023622047244095" right="0.33" top="0.4724409448818898" bottom="0.31496062992125984" header="0.31496062992125984" footer="0.31496062992125984"/>
  <pageSetup horizontalDpi="600" verticalDpi="600" orientation="portrait" paperSize="9" scale="9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M46"/>
  <sheetViews>
    <sheetView view="pageBreakPreview" zoomScale="90" zoomScaleSheetLayoutView="90" zoomScalePageLayoutView="0" workbookViewId="0" topLeftCell="A22">
      <selection activeCell="B17" sqref="B17"/>
    </sheetView>
  </sheetViews>
  <sheetFormatPr defaultColWidth="9.140625" defaultRowHeight="12.75"/>
  <cols>
    <col min="1" max="1" width="34.140625" style="9" customWidth="1"/>
    <col min="2" max="3" width="12.28125" style="9" customWidth="1"/>
    <col min="4" max="4" width="11.7109375" style="9" customWidth="1"/>
    <col min="5" max="5" width="11.57421875" style="9" customWidth="1"/>
    <col min="6" max="6" width="12.57421875" style="9" customWidth="1"/>
    <col min="7" max="7" width="4.140625" style="9" customWidth="1"/>
    <col min="8" max="16384" width="9.140625" style="9" customWidth="1"/>
  </cols>
  <sheetData>
    <row r="1" spans="1:6" ht="15.75">
      <c r="A1" s="11"/>
      <c r="B1" s="11"/>
      <c r="C1" s="13"/>
      <c r="D1" s="392" t="s">
        <v>156</v>
      </c>
      <c r="E1" s="392"/>
      <c r="F1" s="392"/>
    </row>
    <row r="2" spans="1:6" ht="12.75">
      <c r="A2" s="158" t="s">
        <v>145</v>
      </c>
      <c r="D2" s="372" t="s">
        <v>146</v>
      </c>
      <c r="E2" s="372"/>
      <c r="F2" s="372"/>
    </row>
    <row r="3" spans="1:6" ht="12.75">
      <c r="A3" s="9" t="s">
        <v>192</v>
      </c>
      <c r="D3" s="373" t="s">
        <v>147</v>
      </c>
      <c r="E3" s="373"/>
      <c r="F3" s="373"/>
    </row>
    <row r="4" spans="1:6" ht="12.75">
      <c r="A4" s="9" t="s">
        <v>193</v>
      </c>
      <c r="D4" s="373" t="s">
        <v>148</v>
      </c>
      <c r="E4" s="373"/>
      <c r="F4" s="373"/>
    </row>
    <row r="5" spans="1:6" ht="19.5" customHeight="1">
      <c r="A5" s="9" t="s">
        <v>191</v>
      </c>
      <c r="D5" s="373" t="s">
        <v>183</v>
      </c>
      <c r="E5" s="373"/>
      <c r="F5" s="373"/>
    </row>
    <row r="6" spans="1:6" ht="12.75">
      <c r="A6" s="13"/>
      <c r="B6" s="13"/>
      <c r="C6" s="13"/>
      <c r="D6" s="13"/>
      <c r="E6" s="13"/>
      <c r="F6" s="13"/>
    </row>
    <row r="7" spans="1:6" ht="15.75" customHeight="1">
      <c r="A7" s="380" t="s">
        <v>163</v>
      </c>
      <c r="B7" s="380"/>
      <c r="C7" s="380"/>
      <c r="D7" s="380"/>
      <c r="E7" s="380"/>
      <c r="F7" s="380"/>
    </row>
    <row r="8" spans="1:6" ht="12.75">
      <c r="A8" s="380" t="s">
        <v>181</v>
      </c>
      <c r="B8" s="380"/>
      <c r="C8" s="380"/>
      <c r="D8" s="380"/>
      <c r="E8" s="380"/>
      <c r="F8" s="380"/>
    </row>
    <row r="9" spans="1:6" ht="12.75">
      <c r="A9" s="395" t="s">
        <v>125</v>
      </c>
      <c r="B9" s="395"/>
      <c r="C9" s="395"/>
      <c r="D9" s="395"/>
      <c r="E9" s="395"/>
      <c r="F9" s="395"/>
    </row>
    <row r="10" spans="1:6" ht="13.5" thickBot="1">
      <c r="A10" s="382"/>
      <c r="B10" s="382"/>
      <c r="C10" s="382"/>
      <c r="D10" s="382"/>
      <c r="E10" s="13"/>
      <c r="F10" s="104"/>
    </row>
    <row r="11" spans="1:6" ht="48.75" customHeight="1">
      <c r="A11" s="396"/>
      <c r="B11" s="388" t="s">
        <v>41</v>
      </c>
      <c r="C11" s="389"/>
      <c r="D11" s="390" t="s">
        <v>0</v>
      </c>
      <c r="E11" s="393" t="s">
        <v>17</v>
      </c>
      <c r="F11" s="394"/>
    </row>
    <row r="12" spans="1:6" ht="22.5" customHeight="1" thickBot="1">
      <c r="A12" s="397"/>
      <c r="B12" s="138" t="s">
        <v>1</v>
      </c>
      <c r="C12" s="139" t="s">
        <v>2</v>
      </c>
      <c r="D12" s="391"/>
      <c r="E12" s="140" t="s">
        <v>1</v>
      </c>
      <c r="F12" s="141" t="s">
        <v>52</v>
      </c>
    </row>
    <row r="13" spans="1:6" ht="30">
      <c r="A13" s="234" t="s">
        <v>53</v>
      </c>
      <c r="B13" s="222">
        <v>80</v>
      </c>
      <c r="C13" s="222">
        <v>120</v>
      </c>
      <c r="D13" s="237">
        <v>45.09</v>
      </c>
      <c r="E13" s="198">
        <f>B13/1000*D13</f>
        <v>3.6072</v>
      </c>
      <c r="F13" s="198">
        <f>C13/1000*D13</f>
        <v>5.4108</v>
      </c>
    </row>
    <row r="14" spans="1:6" ht="15">
      <c r="A14" s="234" t="s">
        <v>54</v>
      </c>
      <c r="B14" s="222">
        <v>150</v>
      </c>
      <c r="C14" s="222">
        <v>200</v>
      </c>
      <c r="D14" s="237">
        <v>46.42</v>
      </c>
      <c r="E14" s="198">
        <f aca="true" t="shared" si="0" ref="E14:E29">B14/1000*D14</f>
        <v>6.963</v>
      </c>
      <c r="F14" s="198">
        <f aca="true" t="shared" si="1" ref="F14:F29">C14/1000*D14</f>
        <v>9.284</v>
      </c>
    </row>
    <row r="15" spans="1:6" ht="15">
      <c r="A15" s="234" t="s">
        <v>55</v>
      </c>
      <c r="B15" s="222">
        <v>15</v>
      </c>
      <c r="C15" s="222">
        <v>20</v>
      </c>
      <c r="D15" s="237">
        <v>38.66</v>
      </c>
      <c r="E15" s="198">
        <f t="shared" si="0"/>
        <v>0.5799</v>
      </c>
      <c r="F15" s="198">
        <f t="shared" si="1"/>
        <v>0.7732</v>
      </c>
    </row>
    <row r="16" spans="1:6" ht="15">
      <c r="A16" s="234" t="s">
        <v>56</v>
      </c>
      <c r="B16" s="222">
        <v>45</v>
      </c>
      <c r="C16" s="222">
        <v>50</v>
      </c>
      <c r="D16" s="237">
        <v>80</v>
      </c>
      <c r="E16" s="198">
        <f t="shared" si="0"/>
        <v>3.5999999999999996</v>
      </c>
      <c r="F16" s="198">
        <f t="shared" si="1"/>
        <v>4</v>
      </c>
    </row>
    <row r="17" spans="1:6" ht="15">
      <c r="A17" s="234" t="s">
        <v>57</v>
      </c>
      <c r="B17" s="222">
        <v>15</v>
      </c>
      <c r="C17" s="222">
        <v>20</v>
      </c>
      <c r="D17" s="237">
        <v>43.67</v>
      </c>
      <c r="E17" s="198">
        <f t="shared" si="0"/>
        <v>0.65505</v>
      </c>
      <c r="F17" s="198">
        <f t="shared" si="1"/>
        <v>0.8734000000000001</v>
      </c>
    </row>
    <row r="18" spans="1:6" ht="15">
      <c r="A18" s="234" t="s">
        <v>58</v>
      </c>
      <c r="B18" s="229">
        <f>250-74</f>
        <v>176</v>
      </c>
      <c r="C18" s="229">
        <f>250-50</f>
        <v>200</v>
      </c>
      <c r="D18" s="237">
        <v>30.05</v>
      </c>
      <c r="E18" s="198">
        <f t="shared" si="0"/>
        <v>5.2888</v>
      </c>
      <c r="F18" s="198">
        <f t="shared" si="1"/>
        <v>6.010000000000001</v>
      </c>
    </row>
    <row r="19" spans="1:6" ht="15">
      <c r="A19" s="234" t="s">
        <v>59</v>
      </c>
      <c r="B19" s="222">
        <v>350</v>
      </c>
      <c r="C19" s="222">
        <v>400</v>
      </c>
      <c r="D19" s="237">
        <v>160</v>
      </c>
      <c r="E19" s="198">
        <f t="shared" si="0"/>
        <v>56</v>
      </c>
      <c r="F19" s="198">
        <f t="shared" si="1"/>
        <v>64</v>
      </c>
    </row>
    <row r="20" spans="1:6" ht="15">
      <c r="A20" s="234" t="s">
        <v>60</v>
      </c>
      <c r="B20" s="222">
        <v>200</v>
      </c>
      <c r="C20" s="222">
        <v>200</v>
      </c>
      <c r="D20" s="237">
        <v>140</v>
      </c>
      <c r="E20" s="198">
        <f t="shared" si="0"/>
        <v>28</v>
      </c>
      <c r="F20" s="198">
        <f t="shared" si="1"/>
        <v>28</v>
      </c>
    </row>
    <row r="21" spans="1:6" ht="30">
      <c r="A21" s="235" t="s">
        <v>61</v>
      </c>
      <c r="B21" s="222">
        <v>15</v>
      </c>
      <c r="C21" s="222">
        <v>20</v>
      </c>
      <c r="D21" s="237">
        <v>190</v>
      </c>
      <c r="E21" s="198">
        <f t="shared" si="0"/>
        <v>2.85</v>
      </c>
      <c r="F21" s="198">
        <f t="shared" si="1"/>
        <v>3.8000000000000003</v>
      </c>
    </row>
    <row r="22" spans="1:6" ht="45">
      <c r="A22" s="235" t="s">
        <v>90</v>
      </c>
      <c r="B22" s="222">
        <v>200</v>
      </c>
      <c r="C22" s="222">
        <v>200</v>
      </c>
      <c r="D22" s="237">
        <v>75</v>
      </c>
      <c r="E22" s="198">
        <f t="shared" si="0"/>
        <v>15</v>
      </c>
      <c r="F22" s="198">
        <f t="shared" si="1"/>
        <v>15</v>
      </c>
    </row>
    <row r="23" spans="1:6" ht="30">
      <c r="A23" s="234" t="s">
        <v>63</v>
      </c>
      <c r="B23" s="229">
        <v>77</v>
      </c>
      <c r="C23" s="229">
        <v>86</v>
      </c>
      <c r="D23" s="237">
        <v>350</v>
      </c>
      <c r="E23" s="198">
        <f t="shared" si="0"/>
        <v>26.95</v>
      </c>
      <c r="F23" s="198">
        <f t="shared" si="1"/>
        <v>30.099999999999998</v>
      </c>
    </row>
    <row r="24" spans="1:6" ht="30">
      <c r="A24" s="234" t="s">
        <v>64</v>
      </c>
      <c r="B24" s="229">
        <v>40</v>
      </c>
      <c r="C24" s="229">
        <v>60</v>
      </c>
      <c r="D24" s="237">
        <v>220</v>
      </c>
      <c r="E24" s="198">
        <f t="shared" si="0"/>
        <v>8.8</v>
      </c>
      <c r="F24" s="198">
        <f t="shared" si="1"/>
        <v>13.2</v>
      </c>
    </row>
    <row r="25" spans="1:6" ht="15">
      <c r="A25" s="234" t="s">
        <v>65</v>
      </c>
      <c r="B25" s="222">
        <v>60</v>
      </c>
      <c r="C25" s="222">
        <v>80</v>
      </c>
      <c r="D25" s="229">
        <f>700-215</f>
        <v>485</v>
      </c>
      <c r="E25" s="198">
        <f t="shared" si="0"/>
        <v>29.099999999999998</v>
      </c>
      <c r="F25" s="198">
        <f t="shared" si="1"/>
        <v>38.800000000000004</v>
      </c>
    </row>
    <row r="26" spans="1:6" ht="15">
      <c r="A26" s="234" t="s">
        <v>66</v>
      </c>
      <c r="B26" s="222">
        <v>15</v>
      </c>
      <c r="C26" s="222">
        <v>20</v>
      </c>
      <c r="D26" s="237">
        <v>400</v>
      </c>
      <c r="E26" s="198">
        <f t="shared" si="0"/>
        <v>6</v>
      </c>
      <c r="F26" s="198">
        <f t="shared" si="1"/>
        <v>8</v>
      </c>
    </row>
    <row r="27" spans="1:6" ht="30">
      <c r="A27" s="234" t="s">
        <v>67</v>
      </c>
      <c r="B27" s="236">
        <v>300</v>
      </c>
      <c r="C27" s="222">
        <v>300</v>
      </c>
      <c r="D27" s="237">
        <v>71.94</v>
      </c>
      <c r="E27" s="198">
        <f t="shared" si="0"/>
        <v>21.581999999999997</v>
      </c>
      <c r="F27" s="198">
        <f t="shared" si="1"/>
        <v>21.581999999999997</v>
      </c>
    </row>
    <row r="28" spans="1:6" ht="31.5" customHeight="1">
      <c r="A28" s="234" t="s">
        <v>118</v>
      </c>
      <c r="B28" s="222">
        <v>150</v>
      </c>
      <c r="C28" s="222">
        <v>180</v>
      </c>
      <c r="D28" s="237">
        <v>90</v>
      </c>
      <c r="E28" s="198">
        <f t="shared" si="0"/>
        <v>13.5</v>
      </c>
      <c r="F28" s="198">
        <f t="shared" si="1"/>
        <v>16.2</v>
      </c>
    </row>
    <row r="29" spans="1:6" ht="30">
      <c r="A29" s="234" t="s">
        <v>69</v>
      </c>
      <c r="B29" s="222">
        <v>50</v>
      </c>
      <c r="C29" s="222">
        <v>60</v>
      </c>
      <c r="D29" s="229">
        <f>600-220</f>
        <v>380</v>
      </c>
      <c r="E29" s="198">
        <f t="shared" si="0"/>
        <v>19</v>
      </c>
      <c r="F29" s="198">
        <f t="shared" si="1"/>
        <v>22.8</v>
      </c>
    </row>
    <row r="30" spans="1:6" ht="13.5">
      <c r="A30" s="234" t="s">
        <v>70</v>
      </c>
      <c r="B30" s="222">
        <v>10</v>
      </c>
      <c r="C30" s="222">
        <v>12</v>
      </c>
      <c r="D30" s="237">
        <v>650</v>
      </c>
      <c r="E30" s="198">
        <f>B30/1000*D30</f>
        <v>6.5</v>
      </c>
      <c r="F30" s="198">
        <f>C30/1000*D30</f>
        <v>7.8</v>
      </c>
    </row>
    <row r="31" spans="1:6" ht="27">
      <c r="A31" s="234" t="s">
        <v>6</v>
      </c>
      <c r="B31" s="222">
        <v>10</v>
      </c>
      <c r="C31" s="222">
        <v>10</v>
      </c>
      <c r="D31" s="237">
        <v>270</v>
      </c>
      <c r="E31" s="198">
        <f>B31/1000*D31</f>
        <v>2.7</v>
      </c>
      <c r="F31" s="198">
        <f>C31/1000*D31</f>
        <v>2.7</v>
      </c>
    </row>
    <row r="32" spans="1:6" ht="13.5">
      <c r="A32" s="234" t="s">
        <v>71</v>
      </c>
      <c r="B32" s="222">
        <v>30</v>
      </c>
      <c r="C32" s="222">
        <v>35</v>
      </c>
      <c r="D32" s="229">
        <f>675-77</f>
        <v>598</v>
      </c>
      <c r="E32" s="198">
        <f>B32/1000*D32</f>
        <v>17.939999999999998</v>
      </c>
      <c r="F32" s="198">
        <f>C32/1000*D32</f>
        <v>20.930000000000003</v>
      </c>
    </row>
    <row r="33" spans="1:6" ht="13.5">
      <c r="A33" s="234" t="s">
        <v>72</v>
      </c>
      <c r="B33" s="222">
        <v>15</v>
      </c>
      <c r="C33" s="222">
        <v>18</v>
      </c>
      <c r="D33" s="237">
        <v>110</v>
      </c>
      <c r="E33" s="198">
        <f>B33/1000*D33</f>
        <v>1.65</v>
      </c>
      <c r="F33" s="198">
        <f>C33/1000*D33</f>
        <v>1.9799999999999998</v>
      </c>
    </row>
    <row r="34" spans="1:6" ht="13.5">
      <c r="A34" s="234" t="s">
        <v>73</v>
      </c>
      <c r="B34" s="222" t="s">
        <v>7</v>
      </c>
      <c r="C34" s="222" t="s">
        <v>7</v>
      </c>
      <c r="D34" s="238">
        <v>6.55</v>
      </c>
      <c r="E34" s="198">
        <v>6.55</v>
      </c>
      <c r="F34" s="198">
        <v>6.55</v>
      </c>
    </row>
    <row r="35" spans="1:13" ht="13.5">
      <c r="A35" s="234" t="s">
        <v>35</v>
      </c>
      <c r="B35" s="222">
        <v>40</v>
      </c>
      <c r="C35" s="222">
        <v>45</v>
      </c>
      <c r="D35" s="237">
        <v>53.38</v>
      </c>
      <c r="E35" s="198">
        <f aca="true" t="shared" si="2" ref="E35:E40">B35/1000*D35</f>
        <v>2.1352</v>
      </c>
      <c r="F35" s="198">
        <f aca="true" t="shared" si="3" ref="F35:F40">C35/1000*D35</f>
        <v>2.4021</v>
      </c>
      <c r="H35" s="104"/>
      <c r="I35" s="104"/>
      <c r="J35" s="104"/>
      <c r="K35" s="104"/>
      <c r="L35" s="104"/>
      <c r="M35" s="104"/>
    </row>
    <row r="36" spans="1:13" ht="13.5">
      <c r="A36" s="234" t="s">
        <v>75</v>
      </c>
      <c r="B36" s="222">
        <v>10</v>
      </c>
      <c r="C36" s="222">
        <v>15</v>
      </c>
      <c r="D36" s="237">
        <v>290</v>
      </c>
      <c r="E36" s="198">
        <f t="shared" si="2"/>
        <v>2.9</v>
      </c>
      <c r="F36" s="198">
        <f t="shared" si="3"/>
        <v>4.35</v>
      </c>
      <c r="H36" s="104"/>
      <c r="I36" s="104"/>
      <c r="J36" s="104"/>
      <c r="K36" s="104"/>
      <c r="L36" s="104"/>
      <c r="M36" s="104"/>
    </row>
    <row r="37" spans="1:13" ht="13.5">
      <c r="A37" s="234" t="s">
        <v>76</v>
      </c>
      <c r="B37" s="222">
        <v>0.4</v>
      </c>
      <c r="C37" s="222">
        <v>0.4</v>
      </c>
      <c r="D37" s="237">
        <v>660</v>
      </c>
      <c r="E37" s="198">
        <f t="shared" si="2"/>
        <v>0.264</v>
      </c>
      <c r="F37" s="198">
        <f t="shared" si="3"/>
        <v>0.264</v>
      </c>
      <c r="H37" s="104"/>
      <c r="I37" s="104"/>
      <c r="J37" s="104"/>
      <c r="K37" s="104"/>
      <c r="L37" s="104"/>
      <c r="M37" s="104"/>
    </row>
    <row r="38" spans="1:13" ht="13.5">
      <c r="A38" s="234" t="s">
        <v>8</v>
      </c>
      <c r="B38" s="222">
        <v>1.2</v>
      </c>
      <c r="C38" s="222">
        <v>1.2</v>
      </c>
      <c r="D38" s="237">
        <v>850</v>
      </c>
      <c r="E38" s="198">
        <f t="shared" si="2"/>
        <v>1.02</v>
      </c>
      <c r="F38" s="198">
        <f t="shared" si="3"/>
        <v>1.02</v>
      </c>
      <c r="H38" s="104"/>
      <c r="I38" s="104"/>
      <c r="J38" s="104"/>
      <c r="K38" s="104"/>
      <c r="L38" s="104"/>
      <c r="M38" s="104"/>
    </row>
    <row r="39" spans="1:13" ht="13.5">
      <c r="A39" s="234" t="s">
        <v>78</v>
      </c>
      <c r="B39" s="222">
        <v>1</v>
      </c>
      <c r="C39" s="222">
        <v>2</v>
      </c>
      <c r="D39" s="237">
        <v>1600</v>
      </c>
      <c r="E39" s="198">
        <f t="shared" si="2"/>
        <v>1.6</v>
      </c>
      <c r="F39" s="198">
        <f t="shared" si="3"/>
        <v>3.2</v>
      </c>
      <c r="H39" s="104"/>
      <c r="I39" s="104"/>
      <c r="J39" s="104"/>
      <c r="K39" s="104"/>
      <c r="L39" s="104"/>
      <c r="M39" s="104"/>
    </row>
    <row r="40" spans="1:13" ht="13.5">
      <c r="A40" s="239" t="s">
        <v>79</v>
      </c>
      <c r="B40" s="240">
        <v>5</v>
      </c>
      <c r="C40" s="240">
        <v>7</v>
      </c>
      <c r="D40" s="241">
        <v>19.76</v>
      </c>
      <c r="E40" s="242">
        <f t="shared" si="2"/>
        <v>0.09880000000000001</v>
      </c>
      <c r="F40" s="242">
        <f t="shared" si="3"/>
        <v>0.13832000000000003</v>
      </c>
      <c r="H40" s="104"/>
      <c r="I40" s="104"/>
      <c r="J40" s="104"/>
      <c r="K40" s="104"/>
      <c r="L40" s="104"/>
      <c r="M40" s="104"/>
    </row>
    <row r="41" spans="1:13" ht="20.25" customHeight="1">
      <c r="A41" s="48" t="s">
        <v>37</v>
      </c>
      <c r="B41" s="12"/>
      <c r="C41" s="12"/>
      <c r="D41" s="12"/>
      <c r="E41" s="243">
        <f>SUM(E13:E40)</f>
        <v>290.83394999999996</v>
      </c>
      <c r="F41" s="244">
        <f>SUM(F13:F40)</f>
        <v>339.16782000000006</v>
      </c>
      <c r="H41" s="105"/>
      <c r="I41" s="106"/>
      <c r="J41" s="107"/>
      <c r="K41" s="108"/>
      <c r="L41" s="108"/>
      <c r="M41" s="108"/>
    </row>
    <row r="42" spans="1:13" ht="20.25" customHeight="1">
      <c r="A42" s="58" t="s">
        <v>38</v>
      </c>
      <c r="B42" s="59"/>
      <c r="C42" s="60"/>
      <c r="D42" s="245">
        <f>(E41+F41)/2</f>
        <v>315.00088500000004</v>
      </c>
      <c r="E42" s="59"/>
      <c r="F42" s="60"/>
      <c r="H42" s="109"/>
      <c r="I42" s="110"/>
      <c r="J42" s="111"/>
      <c r="K42" s="112"/>
      <c r="L42" s="110"/>
      <c r="M42" s="111"/>
    </row>
    <row r="44" spans="3:4" ht="12.75">
      <c r="C44" s="15" t="s">
        <v>149</v>
      </c>
      <c r="D44" s="95">
        <v>279.83</v>
      </c>
    </row>
    <row r="45" spans="3:4" ht="12.75">
      <c r="C45" s="15" t="s">
        <v>111</v>
      </c>
      <c r="D45" s="95">
        <f>D42/D44*100-100</f>
        <v>12.568661330093292</v>
      </c>
    </row>
    <row r="46" spans="3:4" ht="12.75">
      <c r="C46" s="15" t="s">
        <v>112</v>
      </c>
      <c r="D46" s="95">
        <f>D42-D44</f>
        <v>35.170885000000055</v>
      </c>
    </row>
  </sheetData>
  <sheetProtection/>
  <mergeCells count="13">
    <mergeCell ref="D1:F1"/>
    <mergeCell ref="E11:F11"/>
    <mergeCell ref="A7:F7"/>
    <mergeCell ref="A8:F8"/>
    <mergeCell ref="A9:F9"/>
    <mergeCell ref="A10:D10"/>
    <mergeCell ref="A11:A12"/>
    <mergeCell ref="B11:C11"/>
    <mergeCell ref="D11:D12"/>
    <mergeCell ref="D2:F2"/>
    <mergeCell ref="D3:F3"/>
    <mergeCell ref="D4:F4"/>
    <mergeCell ref="D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2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M49"/>
  <sheetViews>
    <sheetView view="pageBreakPreview" zoomScale="90" zoomScaleSheetLayoutView="90" zoomScalePageLayoutView="0" workbookViewId="0" topLeftCell="A25">
      <selection activeCell="H38" sqref="H38"/>
    </sheetView>
  </sheetViews>
  <sheetFormatPr defaultColWidth="9.140625" defaultRowHeight="12.75"/>
  <cols>
    <col min="1" max="1" width="34.140625" style="9" customWidth="1"/>
    <col min="2" max="3" width="12.28125" style="9" customWidth="1"/>
    <col min="4" max="4" width="11.7109375" style="9" customWidth="1"/>
    <col min="5" max="5" width="11.57421875" style="9" customWidth="1"/>
    <col min="6" max="6" width="12.57421875" style="9" customWidth="1"/>
    <col min="7" max="7" width="4.140625" style="9" customWidth="1"/>
    <col min="8" max="16384" width="9.140625" style="9" customWidth="1"/>
  </cols>
  <sheetData>
    <row r="1" spans="1:6" ht="15.75">
      <c r="A1" s="11"/>
      <c r="B1" s="11"/>
      <c r="C1" s="13"/>
      <c r="D1" s="392" t="s">
        <v>156</v>
      </c>
      <c r="E1" s="392"/>
      <c r="F1" s="392"/>
    </row>
    <row r="2" spans="1:6" ht="12.75">
      <c r="A2" s="158"/>
      <c r="D2" s="372" t="s">
        <v>146</v>
      </c>
      <c r="E2" s="372"/>
      <c r="F2" s="372"/>
    </row>
    <row r="3" spans="4:6" ht="12.75">
      <c r="D3" s="373" t="s">
        <v>147</v>
      </c>
      <c r="E3" s="373"/>
      <c r="F3" s="373"/>
    </row>
    <row r="4" spans="4:6" ht="12.75">
      <c r="D4" s="373" t="s">
        <v>148</v>
      </c>
      <c r="E4" s="373"/>
      <c r="F4" s="373"/>
    </row>
    <row r="5" spans="4:6" ht="19.5" customHeight="1">
      <c r="D5" s="373" t="s">
        <v>183</v>
      </c>
      <c r="E5" s="373"/>
      <c r="F5" s="373"/>
    </row>
    <row r="6" spans="1:6" ht="12.75">
      <c r="A6" s="13"/>
      <c r="B6" s="13"/>
      <c r="C6" s="13"/>
      <c r="D6" s="13"/>
      <c r="E6" s="13"/>
      <c r="F6" s="13"/>
    </row>
    <row r="7" spans="1:6" ht="15.75" customHeight="1">
      <c r="A7" s="380" t="s">
        <v>163</v>
      </c>
      <c r="B7" s="380"/>
      <c r="C7" s="380"/>
      <c r="D7" s="380"/>
      <c r="E7" s="380"/>
      <c r="F7" s="380"/>
    </row>
    <row r="8" spans="1:6" ht="12.75">
      <c r="A8" s="380" t="s">
        <v>194</v>
      </c>
      <c r="B8" s="380"/>
      <c r="C8" s="380"/>
      <c r="D8" s="380"/>
      <c r="E8" s="380"/>
      <c r="F8" s="380"/>
    </row>
    <row r="9" spans="1:6" ht="12.75">
      <c r="A9" s="395" t="s">
        <v>246</v>
      </c>
      <c r="B9" s="395"/>
      <c r="C9" s="395"/>
      <c r="D9" s="395"/>
      <c r="E9" s="395"/>
      <c r="F9" s="395"/>
    </row>
    <row r="10" spans="1:6" ht="13.5" thickBot="1">
      <c r="A10" s="382"/>
      <c r="B10" s="382"/>
      <c r="C10" s="382"/>
      <c r="D10" s="382"/>
      <c r="E10" s="13"/>
      <c r="F10" s="104"/>
    </row>
    <row r="11" spans="1:6" ht="48.75" customHeight="1">
      <c r="A11" s="383" t="s">
        <v>15</v>
      </c>
      <c r="B11" s="383" t="s">
        <v>40</v>
      </c>
      <c r="C11" s="383"/>
      <c r="D11" s="384" t="s">
        <v>196</v>
      </c>
      <c r="E11" s="393" t="s">
        <v>17</v>
      </c>
      <c r="F11" s="394"/>
    </row>
    <row r="12" spans="1:6" ht="22.5" customHeight="1" thickBot="1">
      <c r="A12" s="383"/>
      <c r="B12" s="133" t="s">
        <v>229</v>
      </c>
      <c r="C12" s="133" t="s">
        <v>230</v>
      </c>
      <c r="D12" s="385"/>
      <c r="E12" s="133" t="s">
        <v>229</v>
      </c>
      <c r="F12" s="133" t="s">
        <v>230</v>
      </c>
    </row>
    <row r="13" spans="1:6" ht="25.5">
      <c r="A13" s="288" t="s">
        <v>53</v>
      </c>
      <c r="B13" s="132">
        <v>80</v>
      </c>
      <c r="C13" s="132">
        <v>120</v>
      </c>
      <c r="D13" s="285">
        <v>45</v>
      </c>
      <c r="E13" s="198">
        <f>B13/1000*D13</f>
        <v>3.6</v>
      </c>
      <c r="F13" s="198">
        <f>C13/1000*D13</f>
        <v>5.3999999999999995</v>
      </c>
    </row>
    <row r="14" spans="1:6" ht="12.75">
      <c r="A14" s="288" t="s">
        <v>54</v>
      </c>
      <c r="B14" s="132">
        <v>150</v>
      </c>
      <c r="C14" s="132">
        <v>200</v>
      </c>
      <c r="D14" s="285">
        <v>46</v>
      </c>
      <c r="E14" s="198">
        <f aca="true" t="shared" si="0" ref="E14:E29">B14/1000*D14</f>
        <v>6.8999999999999995</v>
      </c>
      <c r="F14" s="198">
        <f aca="true" t="shared" si="1" ref="F14:F29">C14/1000*D14</f>
        <v>9.200000000000001</v>
      </c>
    </row>
    <row r="15" spans="1:6" ht="12.75">
      <c r="A15" s="288" t="s">
        <v>55</v>
      </c>
      <c r="B15" s="132">
        <v>15</v>
      </c>
      <c r="C15" s="132">
        <v>20</v>
      </c>
      <c r="D15" s="285">
        <v>38.9</v>
      </c>
      <c r="E15" s="198">
        <f t="shared" si="0"/>
        <v>0.5834999999999999</v>
      </c>
      <c r="F15" s="198">
        <f t="shared" si="1"/>
        <v>0.778</v>
      </c>
    </row>
    <row r="16" spans="1:6" ht="12.75">
      <c r="A16" s="288" t="s">
        <v>56</v>
      </c>
      <c r="B16" s="132">
        <v>45</v>
      </c>
      <c r="C16" s="132">
        <v>50</v>
      </c>
      <c r="D16" s="285">
        <v>73.5</v>
      </c>
      <c r="E16" s="198">
        <f t="shared" si="0"/>
        <v>3.3074999999999997</v>
      </c>
      <c r="F16" s="198">
        <f t="shared" si="1"/>
        <v>3.6750000000000003</v>
      </c>
    </row>
    <row r="17" spans="1:6" ht="12.75">
      <c r="A17" s="288" t="s">
        <v>57</v>
      </c>
      <c r="B17" s="132">
        <v>15</v>
      </c>
      <c r="C17" s="132">
        <v>20</v>
      </c>
      <c r="D17" s="285">
        <v>48</v>
      </c>
      <c r="E17" s="198">
        <f t="shared" si="0"/>
        <v>0.72</v>
      </c>
      <c r="F17" s="198">
        <f t="shared" si="1"/>
        <v>0.96</v>
      </c>
    </row>
    <row r="18" spans="1:6" ht="12.75">
      <c r="A18" s="288" t="s">
        <v>58</v>
      </c>
      <c r="B18" s="132">
        <v>178.3</v>
      </c>
      <c r="C18" s="132">
        <v>196.3</v>
      </c>
      <c r="D18" s="285">
        <v>45</v>
      </c>
      <c r="E18" s="198">
        <f t="shared" si="0"/>
        <v>8.0235</v>
      </c>
      <c r="F18" s="198">
        <f t="shared" si="1"/>
        <v>8.8335</v>
      </c>
    </row>
    <row r="19" spans="1:6" ht="63.75">
      <c r="A19" s="66" t="s">
        <v>217</v>
      </c>
      <c r="B19" s="132">
        <v>280</v>
      </c>
      <c r="C19" s="132">
        <v>320</v>
      </c>
      <c r="D19" s="285">
        <v>142.58</v>
      </c>
      <c r="E19" s="198">
        <f t="shared" si="0"/>
        <v>39.92240000000001</v>
      </c>
      <c r="F19" s="198">
        <f t="shared" si="1"/>
        <v>45.625600000000006</v>
      </c>
    </row>
    <row r="20" spans="1:6" ht="12.75">
      <c r="A20" s="288" t="s">
        <v>231</v>
      </c>
      <c r="B20" s="132">
        <v>185</v>
      </c>
      <c r="C20" s="132">
        <v>185</v>
      </c>
      <c r="D20" s="285">
        <v>145</v>
      </c>
      <c r="E20" s="198">
        <f t="shared" si="0"/>
        <v>26.825</v>
      </c>
      <c r="F20" s="198">
        <f t="shared" si="1"/>
        <v>26.825</v>
      </c>
    </row>
    <row r="21" spans="1:6" ht="12.75">
      <c r="A21" s="289" t="s">
        <v>219</v>
      </c>
      <c r="B21" s="132">
        <v>15</v>
      </c>
      <c r="C21" s="132">
        <v>20</v>
      </c>
      <c r="D21" s="285">
        <v>190</v>
      </c>
      <c r="E21" s="198">
        <f t="shared" si="0"/>
        <v>2.85</v>
      </c>
      <c r="F21" s="198">
        <f t="shared" si="1"/>
        <v>3.8000000000000003</v>
      </c>
    </row>
    <row r="22" spans="1:6" ht="38.25">
      <c r="A22" s="289" t="s">
        <v>90</v>
      </c>
      <c r="B22" s="132">
        <v>200</v>
      </c>
      <c r="C22" s="132">
        <v>200</v>
      </c>
      <c r="D22" s="285">
        <v>120</v>
      </c>
      <c r="E22" s="198">
        <f t="shared" si="0"/>
        <v>24</v>
      </c>
      <c r="F22" s="198">
        <f t="shared" si="1"/>
        <v>24</v>
      </c>
    </row>
    <row r="23" spans="1:6" ht="12.75">
      <c r="A23" s="288" t="s">
        <v>232</v>
      </c>
      <c r="B23" s="132">
        <v>70</v>
      </c>
      <c r="C23" s="132">
        <v>78</v>
      </c>
      <c r="D23" s="285">
        <v>310</v>
      </c>
      <c r="E23" s="198">
        <f t="shared" si="0"/>
        <v>21.700000000000003</v>
      </c>
      <c r="F23" s="198">
        <f t="shared" si="1"/>
        <v>24.18</v>
      </c>
    </row>
    <row r="24" spans="1:6" ht="25.5">
      <c r="A24" s="288" t="s">
        <v>228</v>
      </c>
      <c r="B24" s="132">
        <v>30</v>
      </c>
      <c r="C24" s="132">
        <v>40</v>
      </c>
      <c r="D24" s="285">
        <v>328</v>
      </c>
      <c r="E24" s="198">
        <f t="shared" si="0"/>
        <v>9.84</v>
      </c>
      <c r="F24" s="198">
        <f t="shared" si="1"/>
        <v>13.120000000000001</v>
      </c>
    </row>
    <row r="25" spans="1:6" ht="25.5">
      <c r="A25" s="288" t="s">
        <v>233</v>
      </c>
      <c r="B25" s="132">
        <v>35</v>
      </c>
      <c r="C25" s="132">
        <v>53</v>
      </c>
      <c r="D25" s="132">
        <v>260</v>
      </c>
      <c r="E25" s="198">
        <f t="shared" si="0"/>
        <v>9.100000000000001</v>
      </c>
      <c r="F25" s="198">
        <f t="shared" si="1"/>
        <v>13.78</v>
      </c>
    </row>
    <row r="26" spans="1:6" ht="25.5">
      <c r="A26" s="288" t="s">
        <v>215</v>
      </c>
      <c r="B26" s="132">
        <v>58</v>
      </c>
      <c r="C26" s="132">
        <v>77</v>
      </c>
      <c r="D26" s="132">
        <v>340</v>
      </c>
      <c r="E26" s="198">
        <f t="shared" si="0"/>
        <v>19.720000000000002</v>
      </c>
      <c r="F26" s="198">
        <f t="shared" si="1"/>
        <v>26.18</v>
      </c>
    </row>
    <row r="27" spans="1:6" ht="12.75">
      <c r="A27" s="288" t="s">
        <v>234</v>
      </c>
      <c r="B27" s="287">
        <v>300</v>
      </c>
      <c r="C27" s="132">
        <v>350</v>
      </c>
      <c r="D27" s="285">
        <v>100</v>
      </c>
      <c r="E27" s="198">
        <f t="shared" si="0"/>
        <v>30</v>
      </c>
      <c r="F27" s="198">
        <f t="shared" si="1"/>
        <v>35</v>
      </c>
    </row>
    <row r="28" spans="1:6" ht="15" customHeight="1">
      <c r="A28" s="288" t="s">
        <v>235</v>
      </c>
      <c r="B28" s="132">
        <v>150</v>
      </c>
      <c r="C28" s="132">
        <v>180</v>
      </c>
      <c r="D28" s="285">
        <v>142.1</v>
      </c>
      <c r="E28" s="198">
        <f t="shared" si="0"/>
        <v>21.314999999999998</v>
      </c>
      <c r="F28" s="198">
        <f t="shared" si="1"/>
        <v>25.578</v>
      </c>
    </row>
    <row r="29" spans="1:6" ht="12.75">
      <c r="A29" s="288" t="s">
        <v>236</v>
      </c>
      <c r="B29" s="132">
        <v>50</v>
      </c>
      <c r="C29" s="132">
        <v>60</v>
      </c>
      <c r="D29" s="132">
        <v>452.5</v>
      </c>
      <c r="E29" s="198">
        <f t="shared" si="0"/>
        <v>22.625</v>
      </c>
      <c r="F29" s="198">
        <f t="shared" si="1"/>
        <v>27.15</v>
      </c>
    </row>
    <row r="30" spans="1:6" ht="12.75">
      <c r="A30" s="288" t="s">
        <v>70</v>
      </c>
      <c r="B30" s="132">
        <v>10</v>
      </c>
      <c r="C30" s="132">
        <v>12</v>
      </c>
      <c r="D30" s="285">
        <v>530</v>
      </c>
      <c r="E30" s="198">
        <f>B30/1000*D30</f>
        <v>5.3</v>
      </c>
      <c r="F30" s="198">
        <f>C30/1000*D30</f>
        <v>6.36</v>
      </c>
    </row>
    <row r="31" spans="1:6" ht="12.75">
      <c r="A31" s="288" t="s">
        <v>237</v>
      </c>
      <c r="B31" s="132">
        <v>10</v>
      </c>
      <c r="C31" s="132">
        <v>10</v>
      </c>
      <c r="D31" s="285">
        <v>250</v>
      </c>
      <c r="E31" s="198">
        <f>B31/1000*D31</f>
        <v>2.5</v>
      </c>
      <c r="F31" s="198">
        <f>C31/1000*D31</f>
        <v>2.5</v>
      </c>
    </row>
    <row r="32" spans="1:6" ht="12.75">
      <c r="A32" s="288" t="s">
        <v>71</v>
      </c>
      <c r="B32" s="132">
        <v>30</v>
      </c>
      <c r="C32" s="132">
        <v>35</v>
      </c>
      <c r="D32" s="132">
        <v>620</v>
      </c>
      <c r="E32" s="198">
        <f>B32/1000*D32</f>
        <v>18.599999999999998</v>
      </c>
      <c r="F32" s="198">
        <f>C32/1000*D32</f>
        <v>21.700000000000003</v>
      </c>
    </row>
    <row r="33" spans="1:6" ht="12.75">
      <c r="A33" s="288" t="s">
        <v>72</v>
      </c>
      <c r="B33" s="132">
        <v>15</v>
      </c>
      <c r="C33" s="132">
        <v>18</v>
      </c>
      <c r="D33" s="285">
        <v>159.86</v>
      </c>
      <c r="E33" s="198">
        <f>B33/1000*D33</f>
        <v>2.3979</v>
      </c>
      <c r="F33" s="198">
        <f>C33/1000*D33</f>
        <v>2.87748</v>
      </c>
    </row>
    <row r="34" spans="1:6" ht="12.75">
      <c r="A34" s="288" t="s">
        <v>238</v>
      </c>
      <c r="B34" s="132">
        <v>1</v>
      </c>
      <c r="C34" s="132">
        <v>1</v>
      </c>
      <c r="D34" s="286">
        <v>9.2</v>
      </c>
      <c r="E34" s="198">
        <f>B34*D34</f>
        <v>9.2</v>
      </c>
      <c r="F34" s="198">
        <f>C34*D34</f>
        <v>9.2</v>
      </c>
    </row>
    <row r="35" spans="1:13" ht="100.5" customHeight="1">
      <c r="A35" s="65" t="s">
        <v>226</v>
      </c>
      <c r="B35" s="132">
        <v>30</v>
      </c>
      <c r="C35" s="132">
        <v>35</v>
      </c>
      <c r="D35" s="285">
        <v>78</v>
      </c>
      <c r="E35" s="198">
        <f aca="true" t="shared" si="2" ref="E35:E43">B35/1000*D35</f>
        <v>2.34</v>
      </c>
      <c r="F35" s="198">
        <f aca="true" t="shared" si="3" ref="F35:F43">C35/1000*D35</f>
        <v>2.7300000000000004</v>
      </c>
      <c r="H35" s="104"/>
      <c r="I35" s="104"/>
      <c r="J35" s="104"/>
      <c r="K35" s="104"/>
      <c r="L35" s="104"/>
      <c r="M35" s="104"/>
    </row>
    <row r="36" spans="1:13" ht="12.75">
      <c r="A36" s="288" t="s">
        <v>75</v>
      </c>
      <c r="B36" s="132">
        <v>10</v>
      </c>
      <c r="C36" s="132">
        <v>15</v>
      </c>
      <c r="D36" s="285">
        <v>192</v>
      </c>
      <c r="E36" s="198">
        <f t="shared" si="2"/>
        <v>1.92</v>
      </c>
      <c r="F36" s="198">
        <f t="shared" si="3"/>
        <v>2.88</v>
      </c>
      <c r="H36" s="104"/>
      <c r="I36" s="104"/>
      <c r="J36" s="104"/>
      <c r="K36" s="104"/>
      <c r="L36" s="104"/>
      <c r="M36" s="104"/>
    </row>
    <row r="37" spans="1:13" ht="12.75">
      <c r="A37" s="288" t="s">
        <v>76</v>
      </c>
      <c r="B37" s="132">
        <v>1</v>
      </c>
      <c r="C37" s="132">
        <v>2</v>
      </c>
      <c r="D37" s="285">
        <v>523</v>
      </c>
      <c r="E37" s="198">
        <f>B37/1000*D37</f>
        <v>0.523</v>
      </c>
      <c r="F37" s="198">
        <f>C37/1000*D37</f>
        <v>1.046</v>
      </c>
      <c r="H37" s="104"/>
      <c r="I37" s="104"/>
      <c r="J37" s="104"/>
      <c r="K37" s="104"/>
      <c r="L37" s="104"/>
      <c r="M37" s="104"/>
    </row>
    <row r="38" spans="1:13" ht="12.75">
      <c r="A38" s="288" t="s">
        <v>8</v>
      </c>
      <c r="B38" s="132">
        <v>1</v>
      </c>
      <c r="C38" s="132">
        <v>1.2</v>
      </c>
      <c r="D38" s="285">
        <v>900</v>
      </c>
      <c r="E38" s="198">
        <f>B38/1000*D38</f>
        <v>0.9</v>
      </c>
      <c r="F38" s="198">
        <f>C38/1000*D38</f>
        <v>1.0799999999999998</v>
      </c>
      <c r="H38" s="104"/>
      <c r="I38" s="104"/>
      <c r="J38" s="104"/>
      <c r="K38" s="104"/>
      <c r="L38" s="104"/>
      <c r="M38" s="104"/>
    </row>
    <row r="39" spans="1:13" ht="12.75">
      <c r="A39" s="288" t="s">
        <v>89</v>
      </c>
      <c r="B39" s="132">
        <v>2</v>
      </c>
      <c r="C39" s="132">
        <v>2</v>
      </c>
      <c r="D39" s="285">
        <v>533</v>
      </c>
      <c r="E39" s="198">
        <f>B39/1000*D39</f>
        <v>1.066</v>
      </c>
      <c r="F39" s="198">
        <f>C39/1000*D39</f>
        <v>1.066</v>
      </c>
      <c r="H39" s="104"/>
      <c r="I39" s="104"/>
      <c r="J39" s="104"/>
      <c r="K39" s="104"/>
      <c r="L39" s="104"/>
      <c r="M39" s="104"/>
    </row>
    <row r="40" spans="1:13" ht="12.75">
      <c r="A40" s="288" t="s">
        <v>78</v>
      </c>
      <c r="B40" s="132">
        <v>0.2</v>
      </c>
      <c r="C40" s="132">
        <v>0.3</v>
      </c>
      <c r="D40" s="285">
        <v>1600</v>
      </c>
      <c r="E40" s="198">
        <f t="shared" si="2"/>
        <v>0.32</v>
      </c>
      <c r="F40" s="198">
        <f t="shared" si="3"/>
        <v>0.48</v>
      </c>
      <c r="H40" s="104"/>
      <c r="I40" s="104"/>
      <c r="J40" s="104"/>
      <c r="K40" s="104"/>
      <c r="L40" s="104"/>
      <c r="M40" s="104"/>
    </row>
    <row r="41" spans="1:13" ht="12.75">
      <c r="A41" s="288" t="s">
        <v>227</v>
      </c>
      <c r="B41" s="132">
        <v>3</v>
      </c>
      <c r="C41" s="132">
        <v>4</v>
      </c>
      <c r="D41" s="285">
        <v>270</v>
      </c>
      <c r="E41" s="198">
        <f t="shared" si="2"/>
        <v>0.81</v>
      </c>
      <c r="F41" s="198">
        <f t="shared" si="3"/>
        <v>1.08</v>
      </c>
      <c r="H41" s="104"/>
      <c r="I41" s="104"/>
      <c r="J41" s="104"/>
      <c r="K41" s="104"/>
      <c r="L41" s="104"/>
      <c r="M41" s="104"/>
    </row>
    <row r="42" spans="1:13" ht="12.75">
      <c r="A42" s="288" t="s">
        <v>239</v>
      </c>
      <c r="B42" s="132">
        <v>2</v>
      </c>
      <c r="C42" s="132">
        <v>2</v>
      </c>
      <c r="D42" s="285">
        <v>2600</v>
      </c>
      <c r="E42" s="198">
        <f t="shared" si="2"/>
        <v>5.2</v>
      </c>
      <c r="F42" s="198">
        <f t="shared" si="3"/>
        <v>5.2</v>
      </c>
      <c r="H42" s="104"/>
      <c r="I42" s="104"/>
      <c r="J42" s="104"/>
      <c r="K42" s="104"/>
      <c r="L42" s="104"/>
      <c r="M42" s="104"/>
    </row>
    <row r="43" spans="1:13" ht="15.75" customHeight="1">
      <c r="A43" s="288" t="s">
        <v>240</v>
      </c>
      <c r="B43" s="132">
        <v>3</v>
      </c>
      <c r="C43" s="132">
        <v>5</v>
      </c>
      <c r="D43" s="285">
        <v>22</v>
      </c>
      <c r="E43" s="330">
        <f t="shared" si="2"/>
        <v>0.066</v>
      </c>
      <c r="F43" s="330">
        <f t="shared" si="3"/>
        <v>0.11</v>
      </c>
      <c r="H43" s="104"/>
      <c r="I43" s="104"/>
      <c r="J43" s="104"/>
      <c r="K43" s="104"/>
      <c r="L43" s="104"/>
      <c r="M43" s="104"/>
    </row>
    <row r="44" spans="1:13" ht="20.25" customHeight="1">
      <c r="A44" s="298" t="s">
        <v>37</v>
      </c>
      <c r="B44" s="136"/>
      <c r="C44" s="136"/>
      <c r="D44" s="136"/>
      <c r="E44" s="244">
        <f>SUM(E13:E43)</f>
        <v>302.17479999999995</v>
      </c>
      <c r="F44" s="244">
        <f>SUM(F13:F43)</f>
        <v>352.39457999999996</v>
      </c>
      <c r="H44" s="105"/>
      <c r="I44" s="106"/>
      <c r="J44" s="107"/>
      <c r="K44" s="108"/>
      <c r="L44" s="108"/>
      <c r="M44" s="108"/>
    </row>
    <row r="45" spans="1:13" ht="20.25" customHeight="1">
      <c r="A45" s="331" t="s">
        <v>38</v>
      </c>
      <c r="B45" s="332"/>
      <c r="C45" s="132"/>
      <c r="D45" s="327">
        <f>(E44+F44)/2</f>
        <v>327.28468999999996</v>
      </c>
      <c r="E45" s="332"/>
      <c r="F45" s="132"/>
      <c r="H45" s="109"/>
      <c r="I45" s="110"/>
      <c r="J45" s="111"/>
      <c r="K45" s="112"/>
      <c r="L45" s="110"/>
      <c r="M45" s="111"/>
    </row>
    <row r="46" spans="1:6" ht="12.75">
      <c r="A46" s="13"/>
      <c r="B46" s="13"/>
      <c r="C46" s="13"/>
      <c r="D46" s="13">
        <v>327.28</v>
      </c>
      <c r="E46" s="13">
        <v>302.17</v>
      </c>
      <c r="F46" s="13">
        <v>352.39</v>
      </c>
    </row>
    <row r="47" spans="1:6" ht="12.75">
      <c r="A47" s="13"/>
      <c r="B47" s="13"/>
      <c r="C47" s="14"/>
      <c r="D47" s="124"/>
      <c r="E47" s="13"/>
      <c r="F47" s="13"/>
    </row>
    <row r="48" spans="3:4" ht="12.75">
      <c r="C48" s="15"/>
      <c r="D48" s="95"/>
    </row>
    <row r="49" spans="3:4" ht="12.75">
      <c r="C49" s="15"/>
      <c r="D49" s="95"/>
    </row>
  </sheetData>
  <sheetProtection/>
  <mergeCells count="13">
    <mergeCell ref="D1:F1"/>
    <mergeCell ref="D2:F2"/>
    <mergeCell ref="D3:F3"/>
    <mergeCell ref="D4:F4"/>
    <mergeCell ref="D5:F5"/>
    <mergeCell ref="A7:F7"/>
    <mergeCell ref="A8:F8"/>
    <mergeCell ref="A9:F9"/>
    <mergeCell ref="A10:D10"/>
    <mergeCell ref="A11:A12"/>
    <mergeCell ref="B11:C11"/>
    <mergeCell ref="D11:D12"/>
    <mergeCell ref="E11:F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2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58"/>
  <sheetViews>
    <sheetView view="pageBreakPreview" zoomScaleNormal="90" zoomScaleSheetLayoutView="100" workbookViewId="0" topLeftCell="H25">
      <selection activeCell="I15" sqref="I15"/>
    </sheetView>
  </sheetViews>
  <sheetFormatPr defaultColWidth="9.140625" defaultRowHeight="12.75"/>
  <cols>
    <col min="1" max="1" width="15.7109375" style="9" hidden="1" customWidth="1"/>
    <col min="2" max="3" width="15.7109375" style="15" hidden="1" customWidth="1"/>
    <col min="4" max="4" width="15.421875" style="55" hidden="1" customWidth="1"/>
    <col min="5" max="6" width="15.57421875" style="9" hidden="1" customWidth="1"/>
    <col min="7" max="7" width="0.2890625" style="9" hidden="1" customWidth="1"/>
    <col min="8" max="8" width="33.57421875" style="9" customWidth="1"/>
    <col min="9" max="9" width="14.00390625" style="15" customWidth="1"/>
    <col min="10" max="10" width="16.00390625" style="15" customWidth="1"/>
    <col min="11" max="11" width="13.421875" style="55" customWidth="1"/>
    <col min="12" max="12" width="17.28125" style="9" customWidth="1"/>
    <col min="13" max="13" width="21.7109375" style="9" customWidth="1"/>
    <col min="14" max="16384" width="9.140625" style="9" customWidth="1"/>
  </cols>
  <sheetData>
    <row r="1" spans="6:13" ht="12.75">
      <c r="F1" s="15"/>
      <c r="H1" s="13"/>
      <c r="I1" s="14"/>
      <c r="J1" s="14"/>
      <c r="K1" s="14"/>
      <c r="L1" s="386" t="s">
        <v>157</v>
      </c>
      <c r="M1" s="386"/>
    </row>
    <row r="2" spans="6:14" ht="12.75">
      <c r="F2" s="15"/>
      <c r="H2" s="158" t="s">
        <v>145</v>
      </c>
      <c r="I2" s="9"/>
      <c r="J2" s="9"/>
      <c r="K2" s="372" t="s">
        <v>146</v>
      </c>
      <c r="L2" s="372"/>
      <c r="M2" s="372"/>
      <c r="N2" s="159"/>
    </row>
    <row r="3" spans="6:14" ht="12.75">
      <c r="F3" s="15"/>
      <c r="H3" s="9" t="s">
        <v>192</v>
      </c>
      <c r="I3" s="9"/>
      <c r="J3" s="9"/>
      <c r="K3" s="373" t="s">
        <v>147</v>
      </c>
      <c r="L3" s="373"/>
      <c r="M3" s="373"/>
      <c r="N3" s="154"/>
    </row>
    <row r="4" spans="6:14" ht="12.75">
      <c r="F4" s="15"/>
      <c r="H4" s="9" t="s">
        <v>193</v>
      </c>
      <c r="I4" s="9"/>
      <c r="J4" s="9"/>
      <c r="K4" s="373" t="s">
        <v>148</v>
      </c>
      <c r="L4" s="373"/>
      <c r="M4" s="373"/>
      <c r="N4" s="154"/>
    </row>
    <row r="5" spans="6:14" ht="17.25" customHeight="1">
      <c r="F5" s="15"/>
      <c r="H5" s="9" t="s">
        <v>191</v>
      </c>
      <c r="I5" s="9"/>
      <c r="J5" s="9"/>
      <c r="K5" s="373" t="s">
        <v>183</v>
      </c>
      <c r="L5" s="373"/>
      <c r="M5" s="373"/>
      <c r="N5" s="154"/>
    </row>
    <row r="6" spans="6:13" ht="12.75">
      <c r="F6" s="15"/>
      <c r="H6" s="13"/>
      <c r="I6" s="14"/>
      <c r="J6" s="14"/>
      <c r="K6" s="14"/>
      <c r="L6" s="13"/>
      <c r="M6" s="14"/>
    </row>
    <row r="7" spans="1:13" ht="14.25">
      <c r="A7" s="408" t="s">
        <v>13</v>
      </c>
      <c r="B7" s="408"/>
      <c r="C7" s="408"/>
      <c r="D7" s="408"/>
      <c r="E7" s="408"/>
      <c r="F7" s="408"/>
      <c r="H7" s="387" t="s">
        <v>136</v>
      </c>
      <c r="I7" s="387"/>
      <c r="J7" s="387"/>
      <c r="K7" s="387"/>
      <c r="L7" s="387"/>
      <c r="M7" s="387"/>
    </row>
    <row r="8" spans="1:13" ht="19.5" customHeight="1">
      <c r="A8" s="409" t="s">
        <v>117</v>
      </c>
      <c r="B8" s="409"/>
      <c r="C8" s="409"/>
      <c r="D8" s="409"/>
      <c r="E8" s="409"/>
      <c r="F8" s="409"/>
      <c r="H8" s="387" t="s">
        <v>185</v>
      </c>
      <c r="I8" s="387"/>
      <c r="J8" s="387"/>
      <c r="K8" s="387"/>
      <c r="L8" s="387"/>
      <c r="M8" s="387"/>
    </row>
    <row r="9" spans="1:13" ht="19.5" customHeight="1">
      <c r="A9" s="409" t="s">
        <v>48</v>
      </c>
      <c r="B9" s="409"/>
      <c r="C9" s="409"/>
      <c r="D9" s="409"/>
      <c r="E9" s="409"/>
      <c r="F9" s="409"/>
      <c r="H9" s="387" t="s">
        <v>48</v>
      </c>
      <c r="I9" s="387"/>
      <c r="J9" s="387"/>
      <c r="K9" s="387"/>
      <c r="L9" s="387"/>
      <c r="M9" s="387"/>
    </row>
    <row r="10" spans="1:13" ht="15">
      <c r="A10" s="410" t="s">
        <v>39</v>
      </c>
      <c r="B10" s="410"/>
      <c r="C10" s="410"/>
      <c r="D10" s="410"/>
      <c r="E10" s="410"/>
      <c r="F10" s="410"/>
      <c r="H10" s="398" t="s">
        <v>39</v>
      </c>
      <c r="I10" s="398"/>
      <c r="J10" s="398"/>
      <c r="K10" s="398"/>
      <c r="L10" s="398"/>
      <c r="M10" s="398"/>
    </row>
    <row r="11" spans="1:13" ht="12.75">
      <c r="A11" s="15"/>
      <c r="E11" s="15"/>
      <c r="F11" s="15"/>
      <c r="H11" s="14"/>
      <c r="I11" s="14"/>
      <c r="J11" s="14"/>
      <c r="K11" s="14"/>
      <c r="L11" s="14"/>
      <c r="M11" s="14"/>
    </row>
    <row r="12" spans="1:13" ht="13.5" thickBot="1">
      <c r="A12" s="15"/>
      <c r="E12" s="15"/>
      <c r="H12" s="14"/>
      <c r="I12" s="14"/>
      <c r="J12" s="14"/>
      <c r="K12" s="14"/>
      <c r="L12" s="14"/>
      <c r="M12" s="13"/>
    </row>
    <row r="13" spans="1:13" ht="47.25" customHeight="1">
      <c r="A13" s="411" t="s">
        <v>49</v>
      </c>
      <c r="B13" s="415" t="s">
        <v>100</v>
      </c>
      <c r="C13" s="416"/>
      <c r="D13" s="413" t="s">
        <v>50</v>
      </c>
      <c r="E13" s="406" t="s">
        <v>17</v>
      </c>
      <c r="F13" s="407"/>
      <c r="H13" s="399" t="s">
        <v>49</v>
      </c>
      <c r="I13" s="401" t="s">
        <v>100</v>
      </c>
      <c r="J13" s="402"/>
      <c r="K13" s="384" t="s">
        <v>0</v>
      </c>
      <c r="L13" s="403" t="s">
        <v>17</v>
      </c>
      <c r="M13" s="404"/>
    </row>
    <row r="14" spans="1:13" ht="18" customHeight="1" thickBot="1">
      <c r="A14" s="412"/>
      <c r="B14" s="46" t="s">
        <v>51</v>
      </c>
      <c r="C14" s="47" t="s">
        <v>52</v>
      </c>
      <c r="D14" s="414"/>
      <c r="E14" s="46" t="s">
        <v>51</v>
      </c>
      <c r="F14" s="46" t="s">
        <v>52</v>
      </c>
      <c r="H14" s="400"/>
      <c r="I14" s="142" t="s">
        <v>51</v>
      </c>
      <c r="J14" s="143" t="s">
        <v>52</v>
      </c>
      <c r="K14" s="385"/>
      <c r="L14" s="144" t="s">
        <v>51</v>
      </c>
      <c r="M14" s="145" t="s">
        <v>52</v>
      </c>
    </row>
    <row r="15" spans="1:13" ht="15" customHeight="1">
      <c r="A15" s="62" t="s">
        <v>53</v>
      </c>
      <c r="B15" s="92">
        <v>80</v>
      </c>
      <c r="C15" s="92">
        <v>120</v>
      </c>
      <c r="D15" s="100">
        <v>42</v>
      </c>
      <c r="E15" s="7">
        <f>B15*D15/1000</f>
        <v>3.36</v>
      </c>
      <c r="F15" s="7">
        <f>C15*D15/1000</f>
        <v>5.04</v>
      </c>
      <c r="H15" s="246" t="s">
        <v>53</v>
      </c>
      <c r="I15" s="205">
        <f>B15*60%</f>
        <v>48</v>
      </c>
      <c r="J15" s="206">
        <f>C15*60%</f>
        <v>72</v>
      </c>
      <c r="K15" s="237">
        <v>45.09</v>
      </c>
      <c r="L15" s="199">
        <f>I15*K15/1000</f>
        <v>2.16432</v>
      </c>
      <c r="M15" s="200">
        <f>J15*K15/1000</f>
        <v>3.2464800000000005</v>
      </c>
    </row>
    <row r="16" spans="1:13" ht="16.5" customHeight="1">
      <c r="A16" s="62" t="s">
        <v>54</v>
      </c>
      <c r="B16" s="92">
        <v>150</v>
      </c>
      <c r="C16" s="92">
        <v>200</v>
      </c>
      <c r="D16" s="100">
        <v>45</v>
      </c>
      <c r="E16" s="7">
        <f aca="true" t="shared" si="0" ref="E16:E42">B16*D16/1000</f>
        <v>6.75</v>
      </c>
      <c r="F16" s="7">
        <f aca="true" t="shared" si="1" ref="F16:F42">C16*D16/1000</f>
        <v>9</v>
      </c>
      <c r="H16" s="246" t="s">
        <v>54</v>
      </c>
      <c r="I16" s="207">
        <f aca="true" t="shared" si="2" ref="I16:I34">B16*60%</f>
        <v>90</v>
      </c>
      <c r="J16" s="208">
        <f aca="true" t="shared" si="3" ref="J16:J35">C16*60%</f>
        <v>120</v>
      </c>
      <c r="K16" s="237">
        <v>46.42</v>
      </c>
      <c r="L16" s="201">
        <f aca="true" t="shared" si="4" ref="L16:L31">I16*K16/1000</f>
        <v>4.1778</v>
      </c>
      <c r="M16" s="202">
        <f aca="true" t="shared" si="5" ref="M16:M35">J16*K16/1000</f>
        <v>5.5704</v>
      </c>
    </row>
    <row r="17" spans="1:13" ht="17.25" customHeight="1">
      <c r="A17" s="62" t="s">
        <v>55</v>
      </c>
      <c r="B17" s="92">
        <v>15</v>
      </c>
      <c r="C17" s="92">
        <v>20</v>
      </c>
      <c r="D17" s="100">
        <v>32</v>
      </c>
      <c r="E17" s="7">
        <f t="shared" si="0"/>
        <v>0.48</v>
      </c>
      <c r="F17" s="7">
        <f t="shared" si="1"/>
        <v>0.64</v>
      </c>
      <c r="H17" s="246" t="s">
        <v>55</v>
      </c>
      <c r="I17" s="207">
        <f t="shared" si="2"/>
        <v>9</v>
      </c>
      <c r="J17" s="208">
        <f t="shared" si="3"/>
        <v>12</v>
      </c>
      <c r="K17" s="237">
        <v>38.66</v>
      </c>
      <c r="L17" s="201">
        <f t="shared" si="4"/>
        <v>0.3479399999999999</v>
      </c>
      <c r="M17" s="202">
        <f t="shared" si="5"/>
        <v>0.46391999999999994</v>
      </c>
    </row>
    <row r="18" spans="1:13" ht="30">
      <c r="A18" s="62" t="s">
        <v>56</v>
      </c>
      <c r="B18" s="92">
        <v>45</v>
      </c>
      <c r="C18" s="92">
        <v>50</v>
      </c>
      <c r="D18" s="100">
        <v>60</v>
      </c>
      <c r="E18" s="7">
        <f t="shared" si="0"/>
        <v>2.7</v>
      </c>
      <c r="F18" s="7">
        <f t="shared" si="1"/>
        <v>3</v>
      </c>
      <c r="H18" s="246" t="s">
        <v>56</v>
      </c>
      <c r="I18" s="207">
        <f t="shared" si="2"/>
        <v>27</v>
      </c>
      <c r="J18" s="208">
        <f t="shared" si="3"/>
        <v>30</v>
      </c>
      <c r="K18" s="237">
        <v>80</v>
      </c>
      <c r="L18" s="201">
        <f t="shared" si="4"/>
        <v>2.16</v>
      </c>
      <c r="M18" s="202">
        <f t="shared" si="5"/>
        <v>2.4</v>
      </c>
    </row>
    <row r="19" spans="1:13" ht="13.5" customHeight="1">
      <c r="A19" s="62" t="s">
        <v>57</v>
      </c>
      <c r="B19" s="92">
        <v>15</v>
      </c>
      <c r="C19" s="92">
        <v>20</v>
      </c>
      <c r="D19" s="100">
        <v>44</v>
      </c>
      <c r="E19" s="7">
        <f t="shared" si="0"/>
        <v>0.66</v>
      </c>
      <c r="F19" s="7">
        <f t="shared" si="1"/>
        <v>0.88</v>
      </c>
      <c r="H19" s="246" t="s">
        <v>57</v>
      </c>
      <c r="I19" s="207">
        <f t="shared" si="2"/>
        <v>9</v>
      </c>
      <c r="J19" s="208">
        <f t="shared" si="3"/>
        <v>12</v>
      </c>
      <c r="K19" s="237">
        <v>43.67</v>
      </c>
      <c r="L19" s="201">
        <f t="shared" si="4"/>
        <v>0.39303000000000005</v>
      </c>
      <c r="M19" s="202">
        <f t="shared" si="5"/>
        <v>0.52404</v>
      </c>
    </row>
    <row r="20" spans="1:13" ht="15.75">
      <c r="A20" s="176" t="s">
        <v>58</v>
      </c>
      <c r="B20" s="173">
        <f>250-50</f>
        <v>200</v>
      </c>
      <c r="C20" s="173">
        <f>250-45</f>
        <v>205</v>
      </c>
      <c r="D20" s="100">
        <v>28</v>
      </c>
      <c r="E20" s="7">
        <f t="shared" si="0"/>
        <v>5.6</v>
      </c>
      <c r="F20" s="7">
        <f t="shared" si="1"/>
        <v>5.74</v>
      </c>
      <c r="H20" s="246" t="s">
        <v>58</v>
      </c>
      <c r="I20" s="249">
        <f t="shared" si="2"/>
        <v>120</v>
      </c>
      <c r="J20" s="250">
        <f t="shared" si="3"/>
        <v>123</v>
      </c>
      <c r="K20" s="237">
        <v>30.05</v>
      </c>
      <c r="L20" s="201">
        <f t="shared" si="4"/>
        <v>3.606</v>
      </c>
      <c r="M20" s="202">
        <f t="shared" si="5"/>
        <v>3.6961500000000003</v>
      </c>
    </row>
    <row r="21" spans="1:13" ht="16.5" customHeight="1">
      <c r="A21" s="176" t="s">
        <v>59</v>
      </c>
      <c r="B21" s="173">
        <f>350-20</f>
        <v>330</v>
      </c>
      <c r="C21" s="173">
        <f>400-10</f>
        <v>390</v>
      </c>
      <c r="D21" s="100">
        <v>150</v>
      </c>
      <c r="E21" s="7">
        <f t="shared" si="0"/>
        <v>49.5</v>
      </c>
      <c r="F21" s="7">
        <f t="shared" si="1"/>
        <v>58.5</v>
      </c>
      <c r="H21" s="246" t="s">
        <v>59</v>
      </c>
      <c r="I21" s="249">
        <f t="shared" si="2"/>
        <v>198</v>
      </c>
      <c r="J21" s="250">
        <f t="shared" si="3"/>
        <v>234</v>
      </c>
      <c r="K21" s="237">
        <v>160</v>
      </c>
      <c r="L21" s="201">
        <f t="shared" si="4"/>
        <v>31.68</v>
      </c>
      <c r="M21" s="202">
        <f t="shared" si="5"/>
        <v>37.44</v>
      </c>
    </row>
    <row r="22" spans="1:13" ht="17.25" customHeight="1">
      <c r="A22" s="176" t="s">
        <v>60</v>
      </c>
      <c r="B22" s="92">
        <v>200</v>
      </c>
      <c r="C22" s="92">
        <v>200</v>
      </c>
      <c r="D22" s="100">
        <v>150</v>
      </c>
      <c r="E22" s="7">
        <f t="shared" si="0"/>
        <v>30</v>
      </c>
      <c r="F22" s="7">
        <f t="shared" si="1"/>
        <v>30</v>
      </c>
      <c r="H22" s="246" t="s">
        <v>60</v>
      </c>
      <c r="I22" s="207">
        <f t="shared" si="2"/>
        <v>120</v>
      </c>
      <c r="J22" s="208">
        <f t="shared" si="3"/>
        <v>120</v>
      </c>
      <c r="K22" s="237">
        <v>140</v>
      </c>
      <c r="L22" s="201">
        <f t="shared" si="4"/>
        <v>16.8</v>
      </c>
      <c r="M22" s="202">
        <f t="shared" si="5"/>
        <v>16.8</v>
      </c>
    </row>
    <row r="23" spans="1:13" ht="15.75" customHeight="1">
      <c r="A23" s="83" t="s">
        <v>61</v>
      </c>
      <c r="B23" s="92">
        <v>15</v>
      </c>
      <c r="C23" s="92">
        <v>20</v>
      </c>
      <c r="D23" s="103">
        <v>159</v>
      </c>
      <c r="E23" s="7">
        <f t="shared" si="0"/>
        <v>2.385</v>
      </c>
      <c r="F23" s="7">
        <f t="shared" si="1"/>
        <v>3.18</v>
      </c>
      <c r="H23" s="247" t="s">
        <v>61</v>
      </c>
      <c r="I23" s="207">
        <f t="shared" si="2"/>
        <v>9</v>
      </c>
      <c r="J23" s="208">
        <f t="shared" si="3"/>
        <v>12</v>
      </c>
      <c r="K23" s="237">
        <v>190</v>
      </c>
      <c r="L23" s="201">
        <f t="shared" si="4"/>
        <v>1.71</v>
      </c>
      <c r="M23" s="202">
        <f t="shared" si="5"/>
        <v>2.28</v>
      </c>
    </row>
    <row r="24" spans="1:13" ht="24.75" customHeight="1">
      <c r="A24" s="83" t="s">
        <v>62</v>
      </c>
      <c r="B24" s="92">
        <v>200</v>
      </c>
      <c r="C24" s="92">
        <v>200</v>
      </c>
      <c r="D24" s="103">
        <v>55</v>
      </c>
      <c r="E24" s="7">
        <f t="shared" si="0"/>
        <v>11</v>
      </c>
      <c r="F24" s="7">
        <f t="shared" si="1"/>
        <v>11</v>
      </c>
      <c r="H24" s="247" t="s">
        <v>90</v>
      </c>
      <c r="I24" s="207">
        <f t="shared" si="2"/>
        <v>120</v>
      </c>
      <c r="J24" s="208">
        <f t="shared" si="3"/>
        <v>120</v>
      </c>
      <c r="K24" s="237">
        <v>75</v>
      </c>
      <c r="L24" s="201">
        <f t="shared" si="4"/>
        <v>9</v>
      </c>
      <c r="M24" s="202">
        <f t="shared" si="5"/>
        <v>9</v>
      </c>
    </row>
    <row r="25" spans="1:13" ht="16.5" customHeight="1">
      <c r="A25" s="176" t="s">
        <v>63</v>
      </c>
      <c r="B25" s="173">
        <v>77</v>
      </c>
      <c r="C25" s="173">
        <v>86</v>
      </c>
      <c r="D25" s="100">
        <v>240</v>
      </c>
      <c r="E25" s="7">
        <f t="shared" si="0"/>
        <v>18.48</v>
      </c>
      <c r="F25" s="7">
        <f t="shared" si="1"/>
        <v>20.64</v>
      </c>
      <c r="H25" s="246" t="s">
        <v>63</v>
      </c>
      <c r="I25" s="249">
        <f t="shared" si="2"/>
        <v>46.199999999999996</v>
      </c>
      <c r="J25" s="250">
        <f t="shared" si="3"/>
        <v>51.6</v>
      </c>
      <c r="K25" s="237">
        <v>350</v>
      </c>
      <c r="L25" s="201">
        <f t="shared" si="4"/>
        <v>16.169999999999998</v>
      </c>
      <c r="M25" s="202">
        <f t="shared" si="5"/>
        <v>18.06</v>
      </c>
    </row>
    <row r="26" spans="1:13" ht="27.75" customHeight="1">
      <c r="A26" s="176" t="s">
        <v>64</v>
      </c>
      <c r="B26" s="173">
        <v>40</v>
      </c>
      <c r="C26" s="173">
        <v>60</v>
      </c>
      <c r="D26" s="100">
        <v>175</v>
      </c>
      <c r="E26" s="7">
        <f t="shared" si="0"/>
        <v>7</v>
      </c>
      <c r="F26" s="7">
        <f t="shared" si="1"/>
        <v>10.5</v>
      </c>
      <c r="H26" s="246" t="s">
        <v>64</v>
      </c>
      <c r="I26" s="249">
        <f t="shared" si="2"/>
        <v>24</v>
      </c>
      <c r="J26" s="250">
        <f t="shared" si="3"/>
        <v>36</v>
      </c>
      <c r="K26" s="237">
        <v>220</v>
      </c>
      <c r="L26" s="201">
        <f t="shared" si="4"/>
        <v>5.28</v>
      </c>
      <c r="M26" s="202">
        <f t="shared" si="5"/>
        <v>7.92</v>
      </c>
    </row>
    <row r="27" spans="1:13" ht="15.75">
      <c r="A27" s="62" t="s">
        <v>65</v>
      </c>
      <c r="B27" s="92">
        <v>60</v>
      </c>
      <c r="C27" s="92">
        <v>80</v>
      </c>
      <c r="D27" s="101">
        <v>500</v>
      </c>
      <c r="E27" s="7">
        <f t="shared" si="0"/>
        <v>30</v>
      </c>
      <c r="F27" s="7">
        <f t="shared" si="1"/>
        <v>40</v>
      </c>
      <c r="H27" s="246" t="s">
        <v>65</v>
      </c>
      <c r="I27" s="207">
        <f t="shared" si="2"/>
        <v>36</v>
      </c>
      <c r="J27" s="208">
        <f t="shared" si="3"/>
        <v>48</v>
      </c>
      <c r="K27" s="248">
        <v>485</v>
      </c>
      <c r="L27" s="201">
        <f>(I27*K27/1000)</f>
        <v>17.46</v>
      </c>
      <c r="M27" s="202">
        <f>(J27*K27/1000)</f>
        <v>23.28</v>
      </c>
    </row>
    <row r="28" spans="1:13" ht="12.75" customHeight="1">
      <c r="A28" s="62" t="s">
        <v>66</v>
      </c>
      <c r="B28" s="92">
        <v>15</v>
      </c>
      <c r="C28" s="92">
        <v>20</v>
      </c>
      <c r="D28" s="100">
        <v>260</v>
      </c>
      <c r="E28" s="7">
        <f t="shared" si="0"/>
        <v>3.9</v>
      </c>
      <c r="F28" s="7">
        <f t="shared" si="1"/>
        <v>5.2</v>
      </c>
      <c r="H28" s="246" t="s">
        <v>66</v>
      </c>
      <c r="I28" s="207">
        <f t="shared" si="2"/>
        <v>9</v>
      </c>
      <c r="J28" s="208">
        <f t="shared" si="3"/>
        <v>12</v>
      </c>
      <c r="K28" s="237">
        <v>400</v>
      </c>
      <c r="L28" s="201">
        <f t="shared" si="4"/>
        <v>3.6</v>
      </c>
      <c r="M28" s="202">
        <f t="shared" si="5"/>
        <v>4.8</v>
      </c>
    </row>
    <row r="29" spans="1:13" ht="25.5" customHeight="1">
      <c r="A29" s="62" t="s">
        <v>67</v>
      </c>
      <c r="B29" s="92">
        <v>300</v>
      </c>
      <c r="C29" s="92">
        <v>300</v>
      </c>
      <c r="D29" s="100">
        <v>67</v>
      </c>
      <c r="E29" s="7">
        <f t="shared" si="0"/>
        <v>20.1</v>
      </c>
      <c r="F29" s="7">
        <f t="shared" si="1"/>
        <v>20.1</v>
      </c>
      <c r="H29" s="246" t="s">
        <v>67</v>
      </c>
      <c r="I29" s="207">
        <f t="shared" si="2"/>
        <v>180</v>
      </c>
      <c r="J29" s="208">
        <f t="shared" si="3"/>
        <v>180</v>
      </c>
      <c r="K29" s="237">
        <v>71.94</v>
      </c>
      <c r="L29" s="201">
        <f t="shared" si="4"/>
        <v>12.9492</v>
      </c>
      <c r="M29" s="202">
        <f t="shared" si="5"/>
        <v>12.9492</v>
      </c>
    </row>
    <row r="30" spans="1:13" ht="24" customHeight="1">
      <c r="A30" s="62" t="s">
        <v>68</v>
      </c>
      <c r="B30" s="92">
        <v>150</v>
      </c>
      <c r="C30" s="92">
        <v>180</v>
      </c>
      <c r="D30" s="100">
        <v>67</v>
      </c>
      <c r="E30" s="7">
        <f t="shared" si="0"/>
        <v>10.05</v>
      </c>
      <c r="F30" s="7">
        <f t="shared" si="1"/>
        <v>12.06</v>
      </c>
      <c r="H30" s="246" t="s">
        <v>118</v>
      </c>
      <c r="I30" s="207">
        <f t="shared" si="2"/>
        <v>90</v>
      </c>
      <c r="J30" s="208">
        <f t="shared" si="3"/>
        <v>108</v>
      </c>
      <c r="K30" s="237">
        <v>90</v>
      </c>
      <c r="L30" s="201">
        <f t="shared" si="4"/>
        <v>8.1</v>
      </c>
      <c r="M30" s="202">
        <f t="shared" si="5"/>
        <v>9.72</v>
      </c>
    </row>
    <row r="31" spans="1:13" ht="24.75" customHeight="1">
      <c r="A31" s="45" t="s">
        <v>69</v>
      </c>
      <c r="B31" s="92">
        <v>50</v>
      </c>
      <c r="C31" s="92">
        <v>60</v>
      </c>
      <c r="D31" s="100">
        <v>422</v>
      </c>
      <c r="E31" s="7">
        <f t="shared" si="0"/>
        <v>21.1</v>
      </c>
      <c r="F31" s="7">
        <f t="shared" si="1"/>
        <v>25.32</v>
      </c>
      <c r="H31" s="246" t="s">
        <v>69</v>
      </c>
      <c r="I31" s="207">
        <f t="shared" si="2"/>
        <v>30</v>
      </c>
      <c r="J31" s="208">
        <f t="shared" si="3"/>
        <v>36</v>
      </c>
      <c r="K31" s="248">
        <v>380</v>
      </c>
      <c r="L31" s="201">
        <f t="shared" si="4"/>
        <v>11.4</v>
      </c>
      <c r="M31" s="202">
        <f t="shared" si="5"/>
        <v>13.68</v>
      </c>
    </row>
    <row r="32" spans="1:13" ht="15">
      <c r="A32" s="45" t="s">
        <v>70</v>
      </c>
      <c r="B32" s="92">
        <v>10</v>
      </c>
      <c r="C32" s="92">
        <v>12</v>
      </c>
      <c r="D32" s="101">
        <v>420</v>
      </c>
      <c r="E32" s="7">
        <f>B32*D32/1000</f>
        <v>4.2</v>
      </c>
      <c r="F32" s="7">
        <f t="shared" si="1"/>
        <v>5.04</v>
      </c>
      <c r="H32" s="246" t="s">
        <v>70</v>
      </c>
      <c r="I32" s="207">
        <f t="shared" si="2"/>
        <v>6</v>
      </c>
      <c r="J32" s="208">
        <f t="shared" si="3"/>
        <v>7.199999999999999</v>
      </c>
      <c r="K32" s="237">
        <v>650</v>
      </c>
      <c r="L32" s="201">
        <f>I32*K32/1000</f>
        <v>3.9</v>
      </c>
      <c r="M32" s="202">
        <f t="shared" si="5"/>
        <v>4.679999999999999</v>
      </c>
    </row>
    <row r="33" spans="1:13" ht="27.75" customHeight="1">
      <c r="A33" s="45" t="s">
        <v>6</v>
      </c>
      <c r="B33" s="92">
        <v>10</v>
      </c>
      <c r="C33" s="92">
        <v>10</v>
      </c>
      <c r="D33" s="100">
        <v>240</v>
      </c>
      <c r="E33" s="7">
        <f>B33*D33/1000</f>
        <v>2.4</v>
      </c>
      <c r="F33" s="7">
        <f t="shared" si="1"/>
        <v>2.4</v>
      </c>
      <c r="H33" s="246" t="s">
        <v>6</v>
      </c>
      <c r="I33" s="207">
        <f>B33*60%</f>
        <v>6</v>
      </c>
      <c r="J33" s="208">
        <f t="shared" si="3"/>
        <v>6</v>
      </c>
      <c r="K33" s="237">
        <v>270</v>
      </c>
      <c r="L33" s="201">
        <f>I33*K33/1000</f>
        <v>1.62</v>
      </c>
      <c r="M33" s="202">
        <f t="shared" si="5"/>
        <v>1.62</v>
      </c>
    </row>
    <row r="34" spans="1:13" ht="14.25" customHeight="1">
      <c r="A34" s="45" t="s">
        <v>71</v>
      </c>
      <c r="B34" s="92">
        <v>30</v>
      </c>
      <c r="C34" s="92">
        <v>35</v>
      </c>
      <c r="D34" s="100">
        <v>378</v>
      </c>
      <c r="E34" s="7">
        <f t="shared" si="0"/>
        <v>11.34</v>
      </c>
      <c r="F34" s="7">
        <f t="shared" si="1"/>
        <v>13.23</v>
      </c>
      <c r="H34" s="246" t="s">
        <v>71</v>
      </c>
      <c r="I34" s="207">
        <f t="shared" si="2"/>
        <v>18</v>
      </c>
      <c r="J34" s="208">
        <f t="shared" si="3"/>
        <v>21</v>
      </c>
      <c r="K34" s="248">
        <v>598</v>
      </c>
      <c r="L34" s="201">
        <f>I34*K34/1000</f>
        <v>10.764</v>
      </c>
      <c r="M34" s="202">
        <f t="shared" si="5"/>
        <v>12.558</v>
      </c>
    </row>
    <row r="35" spans="1:13" ht="16.5" customHeight="1">
      <c r="A35" s="45" t="s">
        <v>72</v>
      </c>
      <c r="B35" s="92">
        <v>15</v>
      </c>
      <c r="C35" s="92">
        <v>18</v>
      </c>
      <c r="D35" s="100">
        <v>110</v>
      </c>
      <c r="E35" s="7">
        <f t="shared" si="0"/>
        <v>1.65</v>
      </c>
      <c r="F35" s="7">
        <f t="shared" si="1"/>
        <v>1.98</v>
      </c>
      <c r="H35" s="246" t="s">
        <v>72</v>
      </c>
      <c r="I35" s="207">
        <f>B35*60%</f>
        <v>9</v>
      </c>
      <c r="J35" s="208">
        <f t="shared" si="3"/>
        <v>10.799999999999999</v>
      </c>
      <c r="K35" s="237">
        <v>110</v>
      </c>
      <c r="L35" s="201">
        <f>I35*K35/1000</f>
        <v>0.99</v>
      </c>
      <c r="M35" s="202">
        <f t="shared" si="5"/>
        <v>1.1879999999999997</v>
      </c>
    </row>
    <row r="36" spans="1:13" ht="16.5" customHeight="1">
      <c r="A36" s="45" t="s">
        <v>73</v>
      </c>
      <c r="B36" s="92" t="s">
        <v>74</v>
      </c>
      <c r="C36" s="92" t="s">
        <v>74</v>
      </c>
      <c r="D36" s="102">
        <v>6</v>
      </c>
      <c r="E36" s="94">
        <v>6</v>
      </c>
      <c r="F36" s="94">
        <v>6</v>
      </c>
      <c r="H36" s="246" t="s">
        <v>73</v>
      </c>
      <c r="I36" s="209" t="s">
        <v>74</v>
      </c>
      <c r="J36" s="210" t="s">
        <v>74</v>
      </c>
      <c r="K36" s="238">
        <v>6.55</v>
      </c>
      <c r="L36" s="201">
        <v>5.7</v>
      </c>
      <c r="M36" s="202">
        <v>5.7</v>
      </c>
    </row>
    <row r="37" spans="1:13" ht="15">
      <c r="A37" s="45" t="s">
        <v>35</v>
      </c>
      <c r="B37" s="92">
        <v>40</v>
      </c>
      <c r="C37" s="92">
        <v>45</v>
      </c>
      <c r="D37" s="100">
        <v>62</v>
      </c>
      <c r="E37" s="7">
        <f t="shared" si="0"/>
        <v>2.48</v>
      </c>
      <c r="F37" s="7">
        <f t="shared" si="1"/>
        <v>2.79</v>
      </c>
      <c r="H37" s="246" t="s">
        <v>35</v>
      </c>
      <c r="I37" s="209">
        <f>B37*60%</f>
        <v>24</v>
      </c>
      <c r="J37" s="210">
        <f>C37*60%</f>
        <v>27</v>
      </c>
      <c r="K37" s="237">
        <v>53.38</v>
      </c>
      <c r="L37" s="201">
        <f aca="true" t="shared" si="6" ref="L37:L42">I37*K37/1000</f>
        <v>1.28112</v>
      </c>
      <c r="M37" s="202">
        <f aca="true" t="shared" si="7" ref="M37:M42">J37*K37/1000</f>
        <v>1.44126</v>
      </c>
    </row>
    <row r="38" spans="1:13" ht="14.25" customHeight="1">
      <c r="A38" s="45" t="s">
        <v>75</v>
      </c>
      <c r="B38" s="92">
        <v>10</v>
      </c>
      <c r="C38" s="92">
        <v>15</v>
      </c>
      <c r="D38" s="100">
        <v>180</v>
      </c>
      <c r="E38" s="7">
        <f t="shared" si="0"/>
        <v>1.8</v>
      </c>
      <c r="F38" s="7">
        <f t="shared" si="1"/>
        <v>2.7</v>
      </c>
      <c r="H38" s="246" t="s">
        <v>75</v>
      </c>
      <c r="I38" s="209">
        <f>B38*60%</f>
        <v>6</v>
      </c>
      <c r="J38" s="210">
        <f>C38*60%</f>
        <v>9</v>
      </c>
      <c r="K38" s="237">
        <v>290</v>
      </c>
      <c r="L38" s="201">
        <f t="shared" si="6"/>
        <v>1.74</v>
      </c>
      <c r="M38" s="202">
        <f t="shared" si="7"/>
        <v>2.61</v>
      </c>
    </row>
    <row r="39" spans="1:13" ht="15">
      <c r="A39" s="45" t="s">
        <v>76</v>
      </c>
      <c r="B39" s="92">
        <v>0.4</v>
      </c>
      <c r="C39" s="92">
        <v>0.4</v>
      </c>
      <c r="D39" s="100">
        <v>360</v>
      </c>
      <c r="E39" s="7">
        <f t="shared" si="0"/>
        <v>0.144</v>
      </c>
      <c r="F39" s="7">
        <f t="shared" si="1"/>
        <v>0.144</v>
      </c>
      <c r="H39" s="246" t="s">
        <v>76</v>
      </c>
      <c r="I39" s="211">
        <f>B39*60%</f>
        <v>0.24</v>
      </c>
      <c r="J39" s="212">
        <f aca="true" t="shared" si="8" ref="I39:J41">C39*60%</f>
        <v>0.24</v>
      </c>
      <c r="K39" s="237">
        <v>660</v>
      </c>
      <c r="L39" s="201">
        <f t="shared" si="6"/>
        <v>0.1584</v>
      </c>
      <c r="M39" s="202">
        <f t="shared" si="7"/>
        <v>0.1584</v>
      </c>
    </row>
    <row r="40" spans="1:13" ht="15">
      <c r="A40" s="45" t="s">
        <v>77</v>
      </c>
      <c r="B40" s="92">
        <v>1.2</v>
      </c>
      <c r="C40" s="92">
        <v>1.2</v>
      </c>
      <c r="D40" s="100">
        <v>350</v>
      </c>
      <c r="E40" s="7">
        <f t="shared" si="0"/>
        <v>0.42</v>
      </c>
      <c r="F40" s="7">
        <f t="shared" si="1"/>
        <v>0.42</v>
      </c>
      <c r="H40" s="246" t="s">
        <v>8</v>
      </c>
      <c r="I40" s="211">
        <f>B40*60%</f>
        <v>0.72</v>
      </c>
      <c r="J40" s="212">
        <f>C40*60%</f>
        <v>0.72</v>
      </c>
      <c r="K40" s="237">
        <v>850</v>
      </c>
      <c r="L40" s="201">
        <f t="shared" si="6"/>
        <v>0.612</v>
      </c>
      <c r="M40" s="202">
        <f t="shared" si="7"/>
        <v>0.612</v>
      </c>
    </row>
    <row r="41" spans="1:13" ht="14.25" customHeight="1">
      <c r="A41" s="45" t="s">
        <v>78</v>
      </c>
      <c r="B41" s="92">
        <v>1</v>
      </c>
      <c r="C41" s="92">
        <v>2</v>
      </c>
      <c r="D41" s="100">
        <v>1100</v>
      </c>
      <c r="E41" s="7">
        <f t="shared" si="0"/>
        <v>1.1</v>
      </c>
      <c r="F41" s="7">
        <f t="shared" si="1"/>
        <v>2.2</v>
      </c>
      <c r="H41" s="246" t="s">
        <v>78</v>
      </c>
      <c r="I41" s="207">
        <f t="shared" si="8"/>
        <v>0.6</v>
      </c>
      <c r="J41" s="208">
        <f t="shared" si="8"/>
        <v>1.2</v>
      </c>
      <c r="K41" s="237">
        <v>1600</v>
      </c>
      <c r="L41" s="201">
        <f t="shared" si="6"/>
        <v>0.96</v>
      </c>
      <c r="M41" s="202">
        <f t="shared" si="7"/>
        <v>1.92</v>
      </c>
    </row>
    <row r="42" spans="1:13" ht="15.75" thickBot="1">
      <c r="A42" s="45" t="s">
        <v>79</v>
      </c>
      <c r="B42" s="92">
        <v>5</v>
      </c>
      <c r="C42" s="92">
        <v>7</v>
      </c>
      <c r="D42" s="100">
        <v>16</v>
      </c>
      <c r="E42" s="7">
        <f t="shared" si="0"/>
        <v>0.08</v>
      </c>
      <c r="F42" s="7">
        <f t="shared" si="1"/>
        <v>0.112</v>
      </c>
      <c r="H42" s="246" t="s">
        <v>79</v>
      </c>
      <c r="I42" s="213">
        <f>B42*60%</f>
        <v>3</v>
      </c>
      <c r="J42" s="214">
        <f>C42*60%</f>
        <v>4.2</v>
      </c>
      <c r="K42" s="237">
        <v>19.76</v>
      </c>
      <c r="L42" s="203">
        <f t="shared" si="6"/>
        <v>0.05928</v>
      </c>
      <c r="M42" s="204">
        <f t="shared" si="7"/>
        <v>0.08299200000000001</v>
      </c>
    </row>
    <row r="43" spans="1:13" ht="15.75" thickBot="1">
      <c r="A43" s="48" t="s">
        <v>37</v>
      </c>
      <c r="B43" s="49"/>
      <c r="C43" s="50"/>
      <c r="D43" s="56"/>
      <c r="E43" s="51">
        <f>SUM(E15:E42)</f>
        <v>254.679</v>
      </c>
      <c r="F43" s="51">
        <f>SUM(F15:F42)</f>
        <v>297.8160000000001</v>
      </c>
      <c r="H43" s="118" t="s">
        <v>37</v>
      </c>
      <c r="I43" s="119"/>
      <c r="J43" s="120"/>
      <c r="K43" s="121"/>
      <c r="L43" s="122">
        <f>SUM(L15:L42)</f>
        <v>174.78309000000002</v>
      </c>
      <c r="M43" s="123">
        <f>SUM(M15:M42)</f>
        <v>204.40084199999998</v>
      </c>
    </row>
    <row r="44" spans="1:13" ht="19.5" customHeight="1" thickBot="1">
      <c r="A44" s="58" t="s">
        <v>38</v>
      </c>
      <c r="B44" s="59"/>
      <c r="C44" s="60"/>
      <c r="D44" s="61">
        <f>(E43+F43)/2</f>
        <v>276.24750000000006</v>
      </c>
      <c r="E44" s="59"/>
      <c r="F44" s="60"/>
      <c r="H44" s="113" t="s">
        <v>38</v>
      </c>
      <c r="I44" s="114"/>
      <c r="J44" s="115"/>
      <c r="K44" s="251">
        <f>(L43+M43)/2</f>
        <v>189.591966</v>
      </c>
      <c r="L44" s="116"/>
      <c r="M44" s="117"/>
    </row>
    <row r="45" spans="4:13" ht="12.75">
      <c r="D45" s="57"/>
      <c r="E45" s="52"/>
      <c r="F45" s="53"/>
      <c r="K45" s="57"/>
      <c r="L45" s="52"/>
      <c r="M45" s="53"/>
    </row>
    <row r="46" spans="3:11" ht="12.75">
      <c r="C46" s="63" t="s">
        <v>120</v>
      </c>
      <c r="D46" s="64">
        <v>117</v>
      </c>
      <c r="J46" s="63" t="s">
        <v>150</v>
      </c>
      <c r="K46" s="64">
        <v>167.9</v>
      </c>
    </row>
    <row r="47" spans="3:12" ht="12.75">
      <c r="C47" s="15" t="s">
        <v>108</v>
      </c>
      <c r="D47" s="85">
        <f>(D44/D46*100)-100</f>
        <v>136.10897435897442</v>
      </c>
      <c r="E47" s="54"/>
      <c r="J47" s="15" t="s">
        <v>108</v>
      </c>
      <c r="K47" s="85">
        <f>(K44/K46*100)-100</f>
        <v>12.919574746873153</v>
      </c>
      <c r="L47" s="54"/>
    </row>
    <row r="48" spans="3:11" ht="12.75">
      <c r="C48" s="15" t="s">
        <v>109</v>
      </c>
      <c r="D48" s="64">
        <f>D44-D46</f>
        <v>159.24750000000006</v>
      </c>
      <c r="J48" s="15" t="s">
        <v>109</v>
      </c>
      <c r="K48" s="64">
        <f>K44-K46</f>
        <v>21.691966000000008</v>
      </c>
    </row>
    <row r="49" spans="1:11" ht="13.5" thickBot="1">
      <c r="A49" s="405"/>
      <c r="B49" s="405"/>
      <c r="C49" s="405"/>
      <c r="D49" s="405"/>
      <c r="H49" s="405"/>
      <c r="I49" s="405"/>
      <c r="J49" s="405"/>
      <c r="K49" s="405"/>
    </row>
    <row r="50" spans="1:11" s="2" customFormat="1" ht="27" thickBot="1">
      <c r="A50" s="76" t="s">
        <v>81</v>
      </c>
      <c r="B50" s="77" t="s">
        <v>101</v>
      </c>
      <c r="C50" s="77" t="s">
        <v>102</v>
      </c>
      <c r="D50" s="78" t="s">
        <v>104</v>
      </c>
      <c r="H50" s="76" t="s">
        <v>81</v>
      </c>
      <c r="I50" s="77" t="s">
        <v>101</v>
      </c>
      <c r="J50" s="77" t="s">
        <v>102</v>
      </c>
      <c r="K50" s="78" t="s">
        <v>104</v>
      </c>
    </row>
    <row r="51" spans="1:11" s="2" customFormat="1" ht="13.5" thickBot="1">
      <c r="A51" s="79">
        <v>1</v>
      </c>
      <c r="B51" s="80">
        <v>2</v>
      </c>
      <c r="C51" s="80">
        <v>3</v>
      </c>
      <c r="D51" s="81" t="s">
        <v>103</v>
      </c>
      <c r="H51" s="79">
        <v>1</v>
      </c>
      <c r="I51" s="80">
        <v>2</v>
      </c>
      <c r="J51" s="80">
        <v>3</v>
      </c>
      <c r="K51" s="81" t="s">
        <v>103</v>
      </c>
    </row>
    <row r="52" spans="1:11" s="70" customFormat="1" ht="13.5" thickBot="1">
      <c r="A52" s="73">
        <v>870</v>
      </c>
      <c r="B52" s="82">
        <f>D44</f>
        <v>276.24750000000006</v>
      </c>
      <c r="C52" s="74">
        <v>21</v>
      </c>
      <c r="D52" s="75">
        <f>A52*B52*C52</f>
        <v>5047041.825000001</v>
      </c>
      <c r="H52" s="73">
        <v>870</v>
      </c>
      <c r="I52" s="82">
        <f>K44</f>
        <v>189.591966</v>
      </c>
      <c r="J52" s="74">
        <v>21</v>
      </c>
      <c r="K52" s="75">
        <f>H52*I52*J52</f>
        <v>3463845.21882</v>
      </c>
    </row>
    <row r="53" spans="2:11" s="70" customFormat="1" ht="12.75">
      <c r="B53" s="19"/>
      <c r="C53" s="19"/>
      <c r="D53" s="71"/>
      <c r="I53" s="19"/>
      <c r="J53" s="19"/>
      <c r="K53" s="71"/>
    </row>
    <row r="54" spans="2:13" s="70" customFormat="1" ht="26.25">
      <c r="B54" s="19"/>
      <c r="C54" s="19" t="s">
        <v>105</v>
      </c>
      <c r="D54" s="72">
        <f>2124600+12990</f>
        <v>2137590</v>
      </c>
      <c r="E54" s="70" t="s">
        <v>107</v>
      </c>
      <c r="F54" s="70" t="s">
        <v>110</v>
      </c>
      <c r="I54" s="19"/>
      <c r="J54" s="19" t="s">
        <v>105</v>
      </c>
      <c r="K54" s="72">
        <f>2124600+12990</f>
        <v>2137590</v>
      </c>
      <c r="L54" s="70" t="s">
        <v>107</v>
      </c>
      <c r="M54" s="70" t="s">
        <v>110</v>
      </c>
    </row>
    <row r="55" spans="2:11" s="70" customFormat="1" ht="12.75">
      <c r="B55" s="19"/>
      <c r="C55" s="19" t="s">
        <v>106</v>
      </c>
      <c r="D55" s="72">
        <f>D54-D52</f>
        <v>-2909451.825000001</v>
      </c>
      <c r="I55" s="19"/>
      <c r="J55" s="19" t="s">
        <v>106</v>
      </c>
      <c r="K55" s="72">
        <f>K54-K52</f>
        <v>-1326255.21882</v>
      </c>
    </row>
    <row r="56" spans="1:12" ht="12.75">
      <c r="A56" s="10"/>
      <c r="B56" s="18"/>
      <c r="C56" s="18"/>
      <c r="D56" s="84"/>
      <c r="E56" s="10"/>
      <c r="H56" s="10"/>
      <c r="I56" s="18"/>
      <c r="J56" s="18"/>
      <c r="K56" s="84"/>
      <c r="L56" s="10"/>
    </row>
    <row r="57" spans="1:12" ht="12.75">
      <c r="A57" s="10"/>
      <c r="B57" s="18"/>
      <c r="C57" s="18"/>
      <c r="D57" s="84"/>
      <c r="E57" s="10"/>
      <c r="H57" s="10"/>
      <c r="I57" s="18"/>
      <c r="J57" s="18"/>
      <c r="K57" s="84"/>
      <c r="L57" s="10"/>
    </row>
    <row r="58" spans="1:12" ht="12.75">
      <c r="A58" s="10"/>
      <c r="B58" s="18"/>
      <c r="C58" s="18"/>
      <c r="D58" s="84"/>
      <c r="E58" s="10"/>
      <c r="H58" s="10"/>
      <c r="I58" s="18"/>
      <c r="J58" s="18"/>
      <c r="K58" s="84"/>
      <c r="L58" s="10"/>
    </row>
  </sheetData>
  <sheetProtection/>
  <mergeCells count="23">
    <mergeCell ref="H49:K49"/>
    <mergeCell ref="E13:F13"/>
    <mergeCell ref="A49:D49"/>
    <mergeCell ref="A7:F7"/>
    <mergeCell ref="A8:F8"/>
    <mergeCell ref="A9:F9"/>
    <mergeCell ref="A10:F10"/>
    <mergeCell ref="A13:A14"/>
    <mergeCell ref="D13:D14"/>
    <mergeCell ref="B13:C13"/>
    <mergeCell ref="H8:M8"/>
    <mergeCell ref="H9:M9"/>
    <mergeCell ref="H10:M10"/>
    <mergeCell ref="H13:H14"/>
    <mergeCell ref="I13:J13"/>
    <mergeCell ref="K13:K14"/>
    <mergeCell ref="L13:M13"/>
    <mergeCell ref="L1:M1"/>
    <mergeCell ref="H7:M7"/>
    <mergeCell ref="K2:M2"/>
    <mergeCell ref="K3:M3"/>
    <mergeCell ref="K4:M4"/>
    <mergeCell ref="K5:M5"/>
  </mergeCells>
  <printOptions/>
  <pageMargins left="0.6692913385826772" right="0.4330708661417323" top="0.4330708661417323" bottom="0.5905511811023623" header="0.4330708661417323" footer="0.5511811023622047"/>
  <pageSetup fitToHeight="1" fitToWidth="1"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2022-05-16T04:07:16Z</cp:lastPrinted>
  <dcterms:created xsi:type="dcterms:W3CDTF">1996-10-08T23:32:33Z</dcterms:created>
  <dcterms:modified xsi:type="dcterms:W3CDTF">2022-05-16T04:36:11Z</dcterms:modified>
  <cp:category/>
  <cp:version/>
  <cp:contentType/>
  <cp:contentStatus/>
</cp:coreProperties>
</file>